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180" windowHeight="13050" tabRatio="885"/>
  </bookViews>
  <sheets>
    <sheet name="2" sheetId="3" r:id="rId1"/>
    <sheet name="3" sheetId="4" r:id="rId2"/>
    <sheet name="4" sheetId="8" r:id="rId3"/>
    <sheet name="5" sheetId="9" r:id="rId4"/>
    <sheet name="6" sheetId="7" r:id="rId5"/>
  </sheets>
  <definedNames>
    <definedName name="_Fill" localSheetId="3" hidden="1">#REF!</definedName>
    <definedName name="_Fill" hidden="1">#REF!</definedName>
    <definedName name="aaa" localSheetId="3">#REF!</definedName>
    <definedName name="aaa">#REF!</definedName>
    <definedName name="bbb" localSheetId="3">#REF!</definedName>
    <definedName name="bbb">#REF!</definedName>
    <definedName name="Database" localSheetId="3" hidden="1">#REF!</definedName>
    <definedName name="Database" hidden="1">#REF!</definedName>
    <definedName name="EQUIPMENT" localSheetId="3">#REF!</definedName>
    <definedName name="EQUIPMENT">#REF!</definedName>
    <definedName name="HWSheet">1</definedName>
    <definedName name="Module.Prix_SMC" localSheetId="3">#N/A</definedName>
    <definedName name="Module.Prix_SMC">#N/A</definedName>
    <definedName name="_xlnm.Print_Area" localSheetId="0">'2'!$A$1:$Q$39</definedName>
    <definedName name="_xlnm.Print_Area" localSheetId="1">'3'!$A$1:$K$51</definedName>
    <definedName name="_xlnm.Print_Area" localSheetId="2">'4'!$A$1:$N$80</definedName>
    <definedName name="_xlnm.Print_Area" localSheetId="3">'5'!$A$1:$Q$33</definedName>
    <definedName name="_xlnm.Print_Titles" localSheetId="0">'2'!$1:$4</definedName>
    <definedName name="_xlnm.Print_Titles" localSheetId="1">'3'!$1:$4</definedName>
    <definedName name="_xlnm.Print_Titles" localSheetId="2">'4'!$1:$4</definedName>
    <definedName name="_xlnm.Print_Titles" localSheetId="3">'5'!$1:$5</definedName>
    <definedName name="_xlnm.Print_Titles" hidden="1">#N/A</definedName>
    <definedName name="Prix_SMC" localSheetId="3">#N/A</definedName>
    <definedName name="Prix_SMC">#N/A</definedName>
    <definedName name="TaxTV">10%</definedName>
    <definedName name="TaxXL">5%</definedName>
    <definedName name="w">#REF!</definedName>
    <definedName name="标准1" localSheetId="3">#REF!</definedName>
    <definedName name="标准1">#REF!</definedName>
    <definedName name="财政" localSheetId="3">#REF!</definedName>
    <definedName name="财政">#REF!</definedName>
    <definedName name="财政局" localSheetId="3">#REF!</definedName>
    <definedName name="财政局">#REF!</definedName>
    <definedName name="地区名称" localSheetId="3">#REF!</definedName>
    <definedName name="地区名称">#REF!</definedName>
    <definedName name="挂账1" localSheetId="3">#REF!</definedName>
    <definedName name="挂账1">#REF!</definedName>
    <definedName name="基础" localSheetId="3">#REF!</definedName>
    <definedName name="基础">#REF!</definedName>
    <definedName name="街镇名称">#REF!</definedName>
    <definedName name="进出口平衡比较">#REF!</definedName>
    <definedName name="平衡1" localSheetId="3">#REF!</definedName>
    <definedName name="平衡1">#REF!</definedName>
    <definedName name="平衡表" localSheetId="3">#REF!</definedName>
    <definedName name="平衡表">#REF!</definedName>
    <definedName name="收入明细1" localSheetId="3">#REF!</definedName>
    <definedName name="收入明细1">#REF!</definedName>
    <definedName name="收入调整">#REF!</definedName>
    <definedName name="数量">#REF!</definedName>
  </definedNames>
  <calcPr calcId="144525" concurrentCalc="0"/>
</workbook>
</file>

<file path=xl/comments1.xml><?xml version="1.0" encoding="utf-8"?>
<comments xmlns="http://schemas.openxmlformats.org/spreadsheetml/2006/main">
  <authors>
    <author>杜远睿</author>
  </authors>
  <commentList>
    <comment ref="J51" authorId="0">
      <text>
        <r>
          <rPr>
            <b/>
            <sz val="9"/>
            <rFont val="宋体"/>
            <charset val="134"/>
          </rPr>
          <t>杜远睿:</t>
        </r>
        <r>
          <rPr>
            <sz val="9"/>
            <rFont val="宋体"/>
            <charset val="134"/>
          </rPr>
          <t xml:space="preserve">
26070街镇滚存结余
</t>
        </r>
      </text>
    </comment>
  </commentList>
</comments>
</file>

<file path=xl/comments2.xml><?xml version="1.0" encoding="utf-8"?>
<comments xmlns="http://schemas.openxmlformats.org/spreadsheetml/2006/main">
  <authors>
    <author>杜远睿</author>
    <author>熊钦松</author>
  </authors>
  <commentList>
    <comment ref="M19" authorId="0">
      <text>
        <r>
          <rPr>
            <b/>
            <sz val="9"/>
            <rFont val="宋体"/>
            <charset val="134"/>
          </rPr>
          <t>杜远睿:</t>
        </r>
        <r>
          <rPr>
            <sz val="9"/>
            <rFont val="宋体"/>
            <charset val="134"/>
          </rPr>
          <t xml:space="preserve">
力争控制在3000万以内
</t>
        </r>
      </text>
    </comment>
    <comment ref="B24" authorId="0">
      <text>
        <r>
          <rPr>
            <b/>
            <sz val="9"/>
            <rFont val="宋体"/>
            <charset val="134"/>
          </rPr>
          <t>杜远睿:</t>
        </r>
        <r>
          <rPr>
            <sz val="9"/>
            <rFont val="宋体"/>
            <charset val="134"/>
          </rPr>
          <t xml:space="preserve">
13649万置业年金单位部分</t>
        </r>
      </text>
    </comment>
    <comment ref="K51" authorId="1">
      <text>
        <r>
          <rPr>
            <b/>
            <sz val="9"/>
            <rFont val="宋体"/>
            <charset val="134"/>
          </rPr>
          <t>熊钦松:</t>
        </r>
        <r>
          <rPr>
            <sz val="9"/>
            <rFont val="宋体"/>
            <charset val="134"/>
          </rPr>
          <t xml:space="preserve">
1900万元税费征管业务费、50文旅产业发展资金、300商务委产业发展资金、40大数据增加项目。
</t>
        </r>
      </text>
    </comment>
    <comment ref="M51" authorId="0">
      <text>
        <r>
          <rPr>
            <b/>
            <sz val="9"/>
            <rFont val="宋体"/>
            <charset val="134"/>
          </rPr>
          <t>杜远睿:</t>
        </r>
        <r>
          <rPr>
            <sz val="9"/>
            <rFont val="宋体"/>
            <charset val="134"/>
          </rPr>
          <t xml:space="preserve">
渗滤液</t>
        </r>
      </text>
    </comment>
    <comment ref="K54" authorId="1">
      <text>
        <r>
          <rPr>
            <b/>
            <sz val="9"/>
            <rFont val="宋体"/>
            <charset val="134"/>
          </rPr>
          <t>熊钦松:</t>
        </r>
        <r>
          <rPr>
            <sz val="9"/>
            <rFont val="宋体"/>
            <charset val="134"/>
          </rPr>
          <t xml:space="preserve">
100建委产业发展资金</t>
        </r>
      </text>
    </comment>
    <comment ref="L55" authorId="0">
      <text>
        <r>
          <rPr>
            <b/>
            <sz val="9"/>
            <rFont val="宋体"/>
            <charset val="134"/>
          </rPr>
          <t xml:space="preserve">数据来源：
转移支付387462
可统筹=返还+一般性（实控数那列）
街镇民生体制约2.2亿，每年专款到街镇约4000万
</t>
        </r>
      </text>
    </comment>
    <comment ref="M55" authorId="0">
      <text>
        <r>
          <rPr>
            <b/>
            <sz val="9"/>
            <rFont val="宋体"/>
            <charset val="134"/>
          </rPr>
          <t>杜远睿:</t>
        </r>
        <r>
          <rPr>
            <sz val="9"/>
            <rFont val="宋体"/>
            <charset val="134"/>
          </rPr>
          <t xml:space="preserve">
通过以前年度结转资金解决14114，确保年初预算平衡
</t>
        </r>
      </text>
    </comment>
    <comment ref="K57" authorId="1">
      <text>
        <r>
          <rPr>
            <b/>
            <sz val="9"/>
            <rFont val="宋体"/>
            <charset val="134"/>
          </rPr>
          <t>熊钦松:</t>
        </r>
        <r>
          <rPr>
            <sz val="9"/>
            <rFont val="宋体"/>
            <charset val="134"/>
          </rPr>
          <t xml:space="preserve">
1000经信委产业发展资金</t>
        </r>
      </text>
    </comment>
    <comment ref="B68" authorId="0">
      <text>
        <r>
          <rPr>
            <b/>
            <sz val="9"/>
            <rFont val="宋体"/>
            <charset val="134"/>
          </rPr>
          <t>杜远睿:</t>
        </r>
        <r>
          <rPr>
            <sz val="9"/>
            <rFont val="宋体"/>
            <charset val="134"/>
          </rPr>
          <t xml:space="preserve">
2018年指标挂账未列支总数
</t>
        </r>
      </text>
    </comment>
  </commentList>
</comments>
</file>

<file path=xl/sharedStrings.xml><?xml version="1.0" encoding="utf-8"?>
<sst xmlns="http://schemas.openxmlformats.org/spreadsheetml/2006/main" count="283">
  <si>
    <t>綦江区一般公共预算2021年收入预算草案表</t>
  </si>
  <si>
    <t>制表：綦江区财政局</t>
  </si>
  <si>
    <t>单位：万元</t>
  </si>
  <si>
    <t>项  目</t>
  </si>
  <si>
    <t>2018年
决算数</t>
  </si>
  <si>
    <t>2019年
决算数</t>
  </si>
  <si>
    <t>2020年调整预算数</t>
  </si>
  <si>
    <t>2020年执行数</t>
  </si>
  <si>
    <t>2021年预算数</t>
  </si>
  <si>
    <t>辖区</t>
  </si>
  <si>
    <t>数据</t>
  </si>
  <si>
    <t>比上年±额</t>
  </si>
  <si>
    <t>比上年±%</t>
  </si>
  <si>
    <t>一般公共预算收入合计</t>
  </si>
  <si>
    <t xml:space="preserve">     税收收入</t>
  </si>
  <si>
    <t xml:space="preserve">     非税收入</t>
  </si>
  <si>
    <t>税务部门小计</t>
  </si>
  <si>
    <t>　增值税</t>
  </si>
  <si>
    <t>　其他税收</t>
  </si>
  <si>
    <t>　企业所得税</t>
  </si>
  <si>
    <t>　个人所得税</t>
  </si>
  <si>
    <t>　资源税</t>
  </si>
  <si>
    <r>
      <rPr>
        <sz val="12"/>
        <color indexed="8"/>
        <rFont val="Times New Roman"/>
        <charset val="134"/>
      </rPr>
      <t xml:space="preserve">    </t>
    </r>
    <r>
      <rPr>
        <sz val="12"/>
        <color indexed="8"/>
        <rFont val="宋体"/>
        <charset val="134"/>
      </rPr>
      <t>城建税</t>
    </r>
  </si>
  <si>
    <r>
      <rPr>
        <sz val="12"/>
        <color indexed="8"/>
        <rFont val="Times New Roman"/>
        <charset val="134"/>
      </rPr>
      <t xml:space="preserve">    </t>
    </r>
    <r>
      <rPr>
        <sz val="12"/>
        <color indexed="8"/>
        <rFont val="宋体"/>
        <charset val="134"/>
      </rPr>
      <t>房产税</t>
    </r>
  </si>
  <si>
    <r>
      <rPr>
        <sz val="12"/>
        <color indexed="8"/>
        <rFont val="Times New Roman"/>
        <charset val="134"/>
      </rPr>
      <t xml:space="preserve">     </t>
    </r>
    <r>
      <rPr>
        <sz val="12"/>
        <color indexed="8"/>
        <rFont val="宋体"/>
        <charset val="134"/>
      </rPr>
      <t>印花税</t>
    </r>
  </si>
  <si>
    <t>　土地使用税</t>
  </si>
  <si>
    <t>　土地增值税</t>
  </si>
  <si>
    <t>　耕地占用税</t>
  </si>
  <si>
    <t xml:space="preserve">  契税</t>
  </si>
  <si>
    <r>
      <rPr>
        <sz val="12"/>
        <color indexed="8"/>
        <rFont val="宋体"/>
        <charset val="134"/>
      </rPr>
      <t xml:space="preserve"> </t>
    </r>
    <r>
      <rPr>
        <sz val="12"/>
        <color indexed="8"/>
        <rFont val="宋体"/>
        <charset val="134"/>
      </rPr>
      <t xml:space="preserve"> 环保税</t>
    </r>
  </si>
  <si>
    <t>　教育费附加</t>
  </si>
  <si>
    <t xml:space="preserve">  残疾人保障金</t>
  </si>
  <si>
    <t>财政及其他部门小计</t>
  </si>
  <si>
    <t xml:space="preserve">  行政事业性收费</t>
  </si>
  <si>
    <r>
      <rPr>
        <sz val="11"/>
        <color indexed="8"/>
        <rFont val="宋体"/>
        <charset val="134"/>
      </rPr>
      <t xml:space="preserve">     </t>
    </r>
    <r>
      <rPr>
        <sz val="11"/>
        <color indexed="8"/>
        <rFont val="宋体"/>
        <charset val="134"/>
      </rPr>
      <t>其中：人防</t>
    </r>
  </si>
  <si>
    <t xml:space="preserve">     其中：规资</t>
  </si>
  <si>
    <t xml:space="preserve">  专项收入</t>
  </si>
  <si>
    <t xml:space="preserve">    教育发展资金</t>
  </si>
  <si>
    <t xml:space="preserve">    农田水利建设资金</t>
  </si>
  <si>
    <t xml:space="preserve">    森林植被恢复费</t>
  </si>
  <si>
    <t>　国有资产有偿使用收入</t>
  </si>
  <si>
    <t xml:space="preserve">   矿产资源专项收入</t>
  </si>
  <si>
    <t xml:space="preserve">   水资源费收入</t>
  </si>
  <si>
    <t xml:space="preserve">    国有资产征占补偿</t>
  </si>
  <si>
    <t xml:space="preserve">    其他各单位</t>
  </si>
  <si>
    <t xml:space="preserve">  罚没收入</t>
  </si>
  <si>
    <t xml:space="preserve">  捐赠收入</t>
  </si>
  <si>
    <t>　其他收入</t>
  </si>
  <si>
    <t>綦江区一般公共预算2021年财力预算草案表</t>
  </si>
  <si>
    <t>预算科目</t>
  </si>
  <si>
    <t>2018年决算数</t>
  </si>
  <si>
    <t>2019年决算数</t>
  </si>
  <si>
    <t>2021年预算草案</t>
  </si>
  <si>
    <t>金额</t>
  </si>
  <si>
    <t>一、一般公共预算总财力（分性质）</t>
  </si>
  <si>
    <t>（一）一般公共预算收入</t>
  </si>
  <si>
    <t xml:space="preserve">（二）上级补助收入                         </t>
  </si>
  <si>
    <t>　1、返还性收入</t>
  </si>
  <si>
    <t xml:space="preserve"> （1）消费税和增值税税收返还</t>
  </si>
  <si>
    <t xml:space="preserve"> （2）所得税基数返还</t>
  </si>
  <si>
    <t xml:space="preserve"> （3）增值税“五五分享”税收返还</t>
  </si>
  <si>
    <t>　2、一般性转移支付收入</t>
  </si>
  <si>
    <t xml:space="preserve"> （1）均衡性转移支付收入</t>
  </si>
  <si>
    <t xml:space="preserve"> （2）县级基本财力保障机制</t>
  </si>
  <si>
    <t xml:space="preserve"> （3）结算补助收入</t>
  </si>
  <si>
    <t xml:space="preserve"> （4）基层公检法司转移支付收入</t>
  </si>
  <si>
    <t xml:space="preserve"> （5）城乡义务教育等转移支付收入</t>
  </si>
  <si>
    <t xml:space="preserve"> （6）资源枯竭型城市转移支付收入</t>
  </si>
  <si>
    <t xml:space="preserve"> （7）城乡居民医疗保险转移支付收入</t>
  </si>
  <si>
    <t xml:space="preserve"> （8）农村综合改革等转移支付收入</t>
  </si>
  <si>
    <t xml:space="preserve"> （9）产粮（油）大县转移资金收入</t>
  </si>
  <si>
    <t xml:space="preserve"> （10）固定数额补助收入</t>
  </si>
  <si>
    <t xml:space="preserve"> （11）贫困地区转移支付收入</t>
  </si>
  <si>
    <t xml:space="preserve"> （12）共同事权转移支付收入</t>
  </si>
  <si>
    <t xml:space="preserve">      教育共同事权</t>
  </si>
  <si>
    <t xml:space="preserve">      文化旅游共同事权</t>
  </si>
  <si>
    <t xml:space="preserve">      社保就业共同事权</t>
  </si>
  <si>
    <t xml:space="preserve">      卫生健康共同事权</t>
  </si>
  <si>
    <t xml:space="preserve">      节能环保共同事权</t>
  </si>
  <si>
    <t xml:space="preserve">      农林水共同事权</t>
  </si>
  <si>
    <t xml:space="preserve">      住房保障共同事权</t>
  </si>
  <si>
    <t xml:space="preserve">      公共安全共同事权</t>
  </si>
  <si>
    <t xml:space="preserve">      其他共同事权</t>
  </si>
  <si>
    <t xml:space="preserve"> （13）其他一般性转移支付收入</t>
  </si>
  <si>
    <t xml:space="preserve">  3、专项转移支付收入</t>
  </si>
  <si>
    <t xml:space="preserve">  4、中央特殊直达—特殊转移支付/特别国债转列</t>
  </si>
  <si>
    <t>(三)债券转贷收入</t>
  </si>
  <si>
    <t>(四)债务还本支出</t>
  </si>
  <si>
    <t>(五)上年结余</t>
  </si>
  <si>
    <t>(六)调入资金</t>
  </si>
  <si>
    <t xml:space="preserve">  1、政府性基金预算调入</t>
  </si>
  <si>
    <t xml:space="preserve">  2、国有资本经营预算调入</t>
  </si>
  <si>
    <t>(七)上解支出</t>
  </si>
  <si>
    <t xml:space="preserve">  1、 体制上解</t>
  </si>
  <si>
    <t xml:space="preserve">  2、 专项上解</t>
  </si>
  <si>
    <t>（八）预算稳定调节基金</t>
  </si>
  <si>
    <t xml:space="preserve">  1、动用预算稳定调节基金（调出使用）</t>
  </si>
  <si>
    <t xml:space="preserve">  2、安排预算稳定调节基金（补充进入）</t>
  </si>
  <si>
    <t>二、一般公共预算总财力（分级别）</t>
  </si>
  <si>
    <t>债务率</t>
  </si>
  <si>
    <t>综合财力</t>
  </si>
  <si>
    <t>一般</t>
  </si>
  <si>
    <t>基金</t>
  </si>
  <si>
    <t>债务</t>
  </si>
  <si>
    <t>（一）区本级</t>
  </si>
  <si>
    <t>不新增</t>
  </si>
  <si>
    <t>（二）街镇级</t>
  </si>
  <si>
    <t>新增7亿</t>
  </si>
  <si>
    <t>綦江区区本级一般公共预算2021年支出预算草案表（表三）</t>
  </si>
  <si>
    <t>项目名称</t>
  </si>
  <si>
    <t>2019年决算</t>
  </si>
  <si>
    <t>2021年支出预算草案</t>
  </si>
  <si>
    <t>编入部门</t>
  </si>
  <si>
    <t>财政直编</t>
  </si>
  <si>
    <t>挂账
或调减</t>
  </si>
  <si>
    <t>区本级支出合计</t>
  </si>
  <si>
    <t>一、基本运转</t>
  </si>
  <si>
    <t>（一）工资及离退休费</t>
  </si>
  <si>
    <t xml:space="preserve">    1、基本工资</t>
  </si>
  <si>
    <t xml:space="preserve">    2、津贴补贴</t>
  </si>
  <si>
    <t xml:space="preserve">    3、绩效工资</t>
  </si>
  <si>
    <t xml:space="preserve">    4、奖金</t>
  </si>
  <si>
    <t xml:space="preserve">    5、基本离退休费</t>
  </si>
  <si>
    <t xml:space="preserve">    6、未休年休假补助</t>
  </si>
  <si>
    <t xml:space="preserve">    7、综合目标绩效考核</t>
  </si>
  <si>
    <r>
      <rPr>
        <sz val="11"/>
        <color theme="1"/>
        <rFont val="宋体"/>
        <charset val="134"/>
      </rPr>
      <t xml:space="preserve">    </t>
    </r>
    <r>
      <rPr>
        <sz val="11"/>
        <color theme="1"/>
        <rFont val="宋体"/>
        <charset val="134"/>
      </rPr>
      <t>8</t>
    </r>
    <r>
      <rPr>
        <sz val="11"/>
        <color theme="1"/>
        <rFont val="宋体"/>
        <charset val="134"/>
      </rPr>
      <t>、行政日常考核及事业超额绩效</t>
    </r>
  </si>
  <si>
    <r>
      <rPr>
        <sz val="11"/>
        <color theme="1"/>
        <rFont val="宋体"/>
        <charset val="134"/>
      </rPr>
      <t xml:space="preserve">    </t>
    </r>
    <r>
      <rPr>
        <sz val="11"/>
        <color theme="1"/>
        <rFont val="宋体"/>
        <charset val="134"/>
      </rPr>
      <t>9</t>
    </r>
    <r>
      <rPr>
        <sz val="11"/>
        <color theme="1"/>
        <rFont val="宋体"/>
        <charset val="134"/>
      </rPr>
      <t>、增人增资等年初预留</t>
    </r>
  </si>
  <si>
    <r>
      <rPr>
        <sz val="11"/>
        <color theme="1"/>
        <rFont val="宋体"/>
        <charset val="134"/>
      </rPr>
      <t xml:space="preserve">    </t>
    </r>
    <r>
      <rPr>
        <sz val="11"/>
        <color theme="1"/>
        <rFont val="宋体"/>
        <charset val="134"/>
      </rPr>
      <t>10</t>
    </r>
    <r>
      <rPr>
        <sz val="11"/>
        <color theme="1"/>
        <rFont val="宋体"/>
        <charset val="134"/>
      </rPr>
      <t>、其他工资性支出</t>
    </r>
  </si>
  <si>
    <t>（二）行政事业单位保险费</t>
  </si>
  <si>
    <t xml:space="preserve">    1、医疗保险</t>
  </si>
  <si>
    <t xml:space="preserve">    2、工伤保险</t>
  </si>
  <si>
    <t xml:space="preserve">    3、生育保险</t>
  </si>
  <si>
    <t xml:space="preserve">    4、养老保险</t>
  </si>
  <si>
    <t xml:space="preserve">    5、住房公积金</t>
  </si>
  <si>
    <t xml:space="preserve">    6、职业年金</t>
  </si>
  <si>
    <t>（三）托底民生</t>
  </si>
  <si>
    <t xml:space="preserve">    1、长赡和遗属生活补助</t>
  </si>
  <si>
    <t xml:space="preserve">    2、新农合、城乡医疗区级配套</t>
  </si>
  <si>
    <t xml:space="preserve">    3、城镇职工医疗保险市级统筹</t>
  </si>
  <si>
    <t xml:space="preserve">    4、困难群众节日送温暖</t>
  </si>
  <si>
    <t xml:space="preserve">    5、退役士兵安置及义务兵优待金</t>
  </si>
  <si>
    <t xml:space="preserve">    6、就业再就业区级配套</t>
  </si>
  <si>
    <t xml:space="preserve">    7、基本公共卫生服务</t>
  </si>
  <si>
    <t xml:space="preserve">    8、基本药物零差率补助</t>
  </si>
  <si>
    <t xml:space="preserve">    9、计划生育奖励扶助</t>
  </si>
  <si>
    <t xml:space="preserve">    10、助学金</t>
  </si>
  <si>
    <t>（四）日常公用经费</t>
  </si>
  <si>
    <t xml:space="preserve">    1、办公费</t>
  </si>
  <si>
    <t xml:space="preserve">    2、公务用车运行维护费</t>
  </si>
  <si>
    <t xml:space="preserve">    3、差旅费</t>
  </si>
  <si>
    <t xml:space="preserve">    4、会议费</t>
  </si>
  <si>
    <t xml:space="preserve">    5、培训费</t>
  </si>
  <si>
    <t xml:space="preserve">    6、福利费</t>
  </si>
  <si>
    <t xml:space="preserve">    7、工会经费</t>
  </si>
  <si>
    <t xml:space="preserve">    8、离退休干部特需</t>
  </si>
  <si>
    <t xml:space="preserve">    9、其他包干公用经费等</t>
  </si>
  <si>
    <t>二、部门项目支出</t>
  </si>
  <si>
    <t>（一）运转性项目</t>
  </si>
  <si>
    <t xml:space="preserve">    1、区本级财力安排</t>
  </si>
  <si>
    <t xml:space="preserve">    2、上级专款及定向补助安排</t>
  </si>
  <si>
    <t>（二）常年性项目</t>
  </si>
  <si>
    <t>（三）阶段性项目</t>
  </si>
  <si>
    <t>（四）一次性项目</t>
  </si>
  <si>
    <t>（五）其他</t>
  </si>
  <si>
    <t xml:space="preserve">    1、税费征管业务经费</t>
  </si>
  <si>
    <t xml:space="preserve">    2、争上奖励工作经费</t>
  </si>
  <si>
    <t xml:space="preserve">    3、基层党组织活动、工作经费</t>
  </si>
  <si>
    <r>
      <rPr>
        <sz val="11"/>
        <color theme="1"/>
        <rFont val="宋体"/>
        <charset val="134"/>
      </rPr>
      <t xml:space="preserve">    4、定向重点扶持</t>
    </r>
  </si>
  <si>
    <t xml:space="preserve">    5、乡村振兴及脱贫攻坚巩固</t>
  </si>
  <si>
    <r>
      <rPr>
        <sz val="11"/>
        <color theme="1"/>
        <rFont val="宋体"/>
        <charset val="134"/>
      </rPr>
      <t xml:space="preserve">    6、换届及建党</t>
    </r>
    <r>
      <rPr>
        <sz val="11"/>
        <color theme="1"/>
        <rFont val="宋体"/>
        <charset val="134"/>
      </rPr>
      <t>100周年</t>
    </r>
    <r>
      <rPr>
        <sz val="11"/>
        <color theme="1"/>
        <rFont val="宋体"/>
        <charset val="134"/>
      </rPr>
      <t>经费</t>
    </r>
  </si>
  <si>
    <t xml:space="preserve">    7、特殊遗留问题处置</t>
  </si>
  <si>
    <t>三、园城管委会体制结算</t>
  </si>
  <si>
    <t>四、政府性基金转列公共支出</t>
  </si>
  <si>
    <t>五、新增债券使用</t>
  </si>
  <si>
    <t>六、偿债支出</t>
  </si>
  <si>
    <t>（一）一般债券付息等</t>
  </si>
  <si>
    <t>（二）其他偿债</t>
  </si>
  <si>
    <t>七、执行中置换或级次变更</t>
  </si>
  <si>
    <t>八、特殊转移支付</t>
  </si>
  <si>
    <t xml:space="preserve">           1.抗洪救灾</t>
  </si>
  <si>
    <t xml:space="preserve">           2.应急体系</t>
  </si>
  <si>
    <t xml:space="preserve">           3.底线民生</t>
  </si>
  <si>
    <t xml:space="preserve">           4.企业扶持</t>
  </si>
  <si>
    <t>九、总预备费</t>
  </si>
  <si>
    <t>十、预算结余（缺口）</t>
  </si>
  <si>
    <t>挂账内容详见2019年调整预算表及其公式</t>
  </si>
  <si>
    <t>綦江区政府性基金预算2021年收支预算草案表</t>
  </si>
  <si>
    <r>
      <rPr>
        <sz val="11"/>
        <rFont val="宋体"/>
        <charset val="134"/>
      </rPr>
      <t>收入及财力</t>
    </r>
  </si>
  <si>
    <r>
      <rPr>
        <sz val="11"/>
        <rFont val="宋体"/>
        <charset val="134"/>
      </rPr>
      <t>支出</t>
    </r>
  </si>
  <si>
    <t>备注</t>
  </si>
  <si>
    <r>
      <rPr>
        <sz val="11"/>
        <rFont val="宋体"/>
        <charset val="134"/>
      </rPr>
      <t>项目名称</t>
    </r>
  </si>
  <si>
    <r>
      <rPr>
        <sz val="11"/>
        <rFont val="Arial"/>
        <charset val="134"/>
      </rPr>
      <t>2018</t>
    </r>
    <r>
      <rPr>
        <sz val="11"/>
        <rFont val="宋体"/>
        <charset val="134"/>
      </rPr>
      <t>年决算数</t>
    </r>
  </si>
  <si>
    <r>
      <rPr>
        <sz val="11"/>
        <rFont val="Arial"/>
        <charset val="134"/>
      </rPr>
      <t>2019</t>
    </r>
    <r>
      <rPr>
        <sz val="11"/>
        <rFont val="宋体"/>
        <charset val="134"/>
      </rPr>
      <t>年决算数</t>
    </r>
  </si>
  <si>
    <r>
      <rPr>
        <sz val="11"/>
        <rFont val="Arial"/>
        <charset val="134"/>
      </rPr>
      <t>2020</t>
    </r>
    <r>
      <rPr>
        <sz val="11"/>
        <rFont val="宋体"/>
        <charset val="134"/>
      </rPr>
      <t>年预算调整数</t>
    </r>
  </si>
  <si>
    <r>
      <rPr>
        <sz val="11"/>
        <rFont val="Arial"/>
        <charset val="134"/>
      </rPr>
      <t>2020</t>
    </r>
    <r>
      <rPr>
        <sz val="11"/>
        <rFont val="宋体"/>
        <charset val="134"/>
      </rPr>
      <t>年执行数</t>
    </r>
  </si>
  <si>
    <r>
      <rPr>
        <sz val="11"/>
        <rFont val="Arial"/>
        <charset val="134"/>
      </rPr>
      <t>2021</t>
    </r>
    <r>
      <rPr>
        <sz val="11"/>
        <rFont val="宋体"/>
        <charset val="134"/>
      </rPr>
      <t>年预算草案</t>
    </r>
  </si>
  <si>
    <r>
      <rPr>
        <sz val="11"/>
        <rFont val="Arial"/>
        <charset val="134"/>
      </rPr>
      <t>2020</t>
    </r>
    <r>
      <rPr>
        <sz val="11"/>
        <rFont val="宋体"/>
        <charset val="134"/>
      </rPr>
      <t>年预算调整草案</t>
    </r>
  </si>
  <si>
    <r>
      <rPr>
        <sz val="11"/>
        <color indexed="8"/>
        <rFont val="方正黑体_GBK"/>
        <charset val="134"/>
      </rPr>
      <t>一、政府性基金预算收入</t>
    </r>
  </si>
  <si>
    <r>
      <rPr>
        <sz val="11"/>
        <color indexed="8"/>
        <rFont val="方正黑体_GBK"/>
        <charset val="134"/>
      </rPr>
      <t>支出合计</t>
    </r>
  </si>
  <si>
    <r>
      <rPr>
        <sz val="11"/>
        <color indexed="8"/>
        <rFont val="方正楷体_GBK"/>
        <charset val="134"/>
      </rPr>
      <t>（一）土地出让收入</t>
    </r>
  </si>
  <si>
    <r>
      <rPr>
        <sz val="11"/>
        <color indexed="8"/>
        <rFont val="方正黑体_GBK"/>
        <charset val="134"/>
      </rPr>
      <t>一、街镇级体制结算</t>
    </r>
  </si>
  <si>
    <t xml:space="preserve">       其中划拨用地</t>
  </si>
  <si>
    <r>
      <rPr>
        <sz val="11"/>
        <color indexed="8"/>
        <rFont val="方正黑体_GBK"/>
        <charset val="134"/>
      </rPr>
      <t>二、区本级预算支出</t>
    </r>
  </si>
  <si>
    <t xml:space="preserve">   渝南系</t>
  </si>
  <si>
    <t>（一）本级以收定支项目支出</t>
  </si>
  <si>
    <r>
      <rPr>
        <sz val="11"/>
        <color indexed="8"/>
        <rFont val="Arial"/>
        <charset val="134"/>
      </rPr>
      <t xml:space="preserve">     1.</t>
    </r>
    <r>
      <rPr>
        <sz val="11"/>
        <color indexed="8"/>
        <rFont val="宋体"/>
        <charset val="134"/>
      </rPr>
      <t>公交补贴、亏损补贴等</t>
    </r>
  </si>
  <si>
    <t xml:space="preserve">   城投系</t>
  </si>
  <si>
    <r>
      <rPr>
        <sz val="11"/>
        <color indexed="8"/>
        <rFont val="Arial"/>
        <charset val="134"/>
      </rPr>
      <t xml:space="preserve">     2.</t>
    </r>
    <r>
      <rPr>
        <sz val="11"/>
        <color indexed="8"/>
        <rFont val="宋体"/>
        <charset val="134"/>
      </rPr>
      <t>其他项目支出</t>
    </r>
  </si>
  <si>
    <t>交旅集团退地费4000万元，房交会优惠政策兑现2500万元，农村公路养护1200万元，安保工程融资租赁本息982万元。</t>
  </si>
  <si>
    <r>
      <rPr>
        <sz val="11"/>
        <color indexed="8"/>
        <rFont val="Arial"/>
        <charset val="134"/>
      </rPr>
      <t xml:space="preserve">     3.</t>
    </r>
    <r>
      <rPr>
        <sz val="11"/>
        <color indexed="8"/>
        <rFont val="宋体"/>
        <charset val="134"/>
      </rPr>
      <t>消化挂账</t>
    </r>
  </si>
  <si>
    <t xml:space="preserve">   旅投系</t>
  </si>
  <si>
    <t>（二）对园城管委会体制结算</t>
  </si>
  <si>
    <r>
      <rPr>
        <sz val="11"/>
        <color indexed="8"/>
        <rFont val="Arial"/>
        <charset val="134"/>
      </rPr>
      <t xml:space="preserve">     1.</t>
    </r>
    <r>
      <rPr>
        <sz val="11"/>
        <color indexed="8"/>
        <rFont val="宋体"/>
        <charset val="134"/>
      </rPr>
      <t>工业园区管委会出让金</t>
    </r>
  </si>
  <si>
    <r>
      <rPr>
        <sz val="11"/>
        <color indexed="8"/>
        <rFont val="Arial"/>
        <charset val="134"/>
      </rPr>
      <t xml:space="preserve">     </t>
    </r>
    <r>
      <rPr>
        <sz val="11"/>
        <color indexed="8"/>
        <rFont val="宋体"/>
        <charset val="134"/>
      </rPr>
      <t>街镇级</t>
    </r>
  </si>
  <si>
    <r>
      <rPr>
        <sz val="11"/>
        <color indexed="8"/>
        <rFont val="Arial"/>
        <charset val="134"/>
      </rPr>
      <t xml:space="preserve">     2.</t>
    </r>
    <r>
      <rPr>
        <sz val="11"/>
        <color indexed="8"/>
        <rFont val="宋体"/>
        <charset val="134"/>
      </rPr>
      <t>东部新城管委会出让金</t>
    </r>
  </si>
  <si>
    <r>
      <rPr>
        <sz val="11"/>
        <color indexed="8"/>
        <rFont val="Arial"/>
        <charset val="134"/>
      </rPr>
      <t xml:space="preserve">     3.</t>
    </r>
    <r>
      <rPr>
        <sz val="11"/>
        <color indexed="8"/>
        <rFont val="宋体"/>
        <charset val="134"/>
      </rPr>
      <t>旅游开发管委会出让金</t>
    </r>
  </si>
  <si>
    <r>
      <rPr>
        <sz val="11"/>
        <color indexed="8"/>
        <rFont val="Arial"/>
        <charset val="134"/>
      </rPr>
      <t xml:space="preserve">     </t>
    </r>
    <r>
      <rPr>
        <sz val="11"/>
        <color indexed="8"/>
        <rFont val="宋体"/>
        <charset val="134"/>
      </rPr>
      <t>其他</t>
    </r>
  </si>
  <si>
    <r>
      <rPr>
        <sz val="11"/>
        <color indexed="8"/>
        <rFont val="Arial"/>
        <charset val="134"/>
      </rPr>
      <t xml:space="preserve">     4.</t>
    </r>
    <r>
      <rPr>
        <sz val="11"/>
        <color indexed="8"/>
        <rFont val="宋体"/>
        <charset val="134"/>
      </rPr>
      <t>国有公司配套费（总）</t>
    </r>
  </si>
  <si>
    <r>
      <rPr>
        <sz val="11"/>
        <color indexed="8"/>
        <rFont val="Arial"/>
        <charset val="134"/>
      </rPr>
      <t xml:space="preserve">     5.</t>
    </r>
    <r>
      <rPr>
        <sz val="11"/>
        <color indexed="8"/>
        <rFont val="宋体"/>
        <charset val="134"/>
      </rPr>
      <t>其他特殊结算</t>
    </r>
  </si>
  <si>
    <t>需安排预算的学校划拨地</t>
  </si>
  <si>
    <r>
      <rPr>
        <sz val="11"/>
        <color indexed="8"/>
        <rFont val="方正楷体_GBK"/>
        <charset val="134"/>
      </rPr>
      <t>（三）污水处理费收入</t>
    </r>
  </si>
  <si>
    <t>随财力调入一般公共预算</t>
  </si>
  <si>
    <r>
      <rPr>
        <sz val="11"/>
        <color indexed="8"/>
        <rFont val="方正楷体_GBK"/>
        <charset val="134"/>
      </rPr>
      <t>（四）城市建设配套费</t>
    </r>
  </si>
  <si>
    <t>（三）上级专款定向支出</t>
  </si>
  <si>
    <t xml:space="preserve">   园城范围内配套费</t>
  </si>
  <si>
    <r>
      <rPr>
        <sz val="11"/>
        <color indexed="8"/>
        <rFont val="Arial"/>
        <charset val="134"/>
      </rPr>
      <t xml:space="preserve">      1.</t>
    </r>
    <r>
      <rPr>
        <sz val="11"/>
        <color indexed="8"/>
        <rFont val="宋体"/>
        <charset val="134"/>
      </rPr>
      <t>文化体育传媒</t>
    </r>
  </si>
  <si>
    <r>
      <rPr>
        <sz val="11"/>
        <color indexed="8"/>
        <rFont val="Arial"/>
        <charset val="134"/>
      </rPr>
      <t xml:space="preserve">      2.</t>
    </r>
    <r>
      <rPr>
        <sz val="11"/>
        <color indexed="8"/>
        <rFont val="宋体"/>
        <charset val="134"/>
      </rPr>
      <t>社保就业</t>
    </r>
  </si>
  <si>
    <r>
      <rPr>
        <sz val="11"/>
        <color indexed="8"/>
        <rFont val="Arial"/>
        <charset val="134"/>
      </rPr>
      <t xml:space="preserve">     </t>
    </r>
    <r>
      <rPr>
        <sz val="11"/>
        <color indexed="8"/>
        <rFont val="宋体"/>
        <charset val="134"/>
      </rPr>
      <t>区本级其他</t>
    </r>
  </si>
  <si>
    <r>
      <rPr>
        <sz val="11"/>
        <color indexed="8"/>
        <rFont val="Arial"/>
        <charset val="134"/>
      </rPr>
      <t xml:space="preserve">      3.</t>
    </r>
    <r>
      <rPr>
        <sz val="11"/>
        <color indexed="8"/>
        <rFont val="宋体"/>
        <charset val="134"/>
      </rPr>
      <t>城乡社区</t>
    </r>
  </si>
  <si>
    <r>
      <rPr>
        <sz val="11"/>
        <color indexed="8"/>
        <rFont val="方正黑体_GBK"/>
        <charset val="134"/>
      </rPr>
      <t>二、上级补助</t>
    </r>
  </si>
  <si>
    <r>
      <rPr>
        <sz val="11"/>
        <color indexed="8"/>
        <rFont val="Arial"/>
        <charset val="134"/>
      </rPr>
      <t xml:space="preserve">      4.</t>
    </r>
    <r>
      <rPr>
        <sz val="11"/>
        <color indexed="8"/>
        <rFont val="宋体"/>
        <charset val="134"/>
      </rPr>
      <t>农林水</t>
    </r>
  </si>
  <si>
    <r>
      <rPr>
        <sz val="11"/>
        <color indexed="8"/>
        <rFont val="Arial"/>
        <charset val="134"/>
      </rPr>
      <t xml:space="preserve">    </t>
    </r>
    <r>
      <rPr>
        <sz val="11"/>
        <color indexed="8"/>
        <rFont val="宋体"/>
        <charset val="134"/>
      </rPr>
      <t>其中特别国债</t>
    </r>
  </si>
  <si>
    <r>
      <rPr>
        <sz val="11"/>
        <color indexed="8"/>
        <rFont val="Arial"/>
        <charset val="134"/>
      </rPr>
      <t xml:space="preserve">      5.</t>
    </r>
    <r>
      <rPr>
        <sz val="11"/>
        <color indexed="8"/>
        <rFont val="宋体"/>
        <charset val="134"/>
      </rPr>
      <t>其他</t>
    </r>
  </si>
  <si>
    <r>
      <rPr>
        <sz val="11"/>
        <color indexed="8"/>
        <rFont val="方正黑体_GBK"/>
        <charset val="134"/>
      </rPr>
      <t>三、债券转贷收入</t>
    </r>
  </si>
  <si>
    <r>
      <rPr>
        <sz val="11"/>
        <rFont val="方正楷体_GBK"/>
        <charset val="134"/>
      </rPr>
      <t>（四）专项债券支出</t>
    </r>
  </si>
  <si>
    <r>
      <rPr>
        <sz val="11"/>
        <color indexed="8"/>
        <rFont val="方正黑体_GBK"/>
        <charset val="134"/>
      </rPr>
      <t>四、债务还本</t>
    </r>
  </si>
  <si>
    <r>
      <rPr>
        <sz val="11"/>
        <rFont val="方正楷体_GBK"/>
        <charset val="134"/>
      </rPr>
      <t>（五）债券付息</t>
    </r>
  </si>
  <si>
    <r>
      <rPr>
        <sz val="11"/>
        <color indexed="8"/>
        <rFont val="方正黑体_GBK"/>
        <charset val="134"/>
      </rPr>
      <t>五、上年结余</t>
    </r>
  </si>
  <si>
    <r>
      <rPr>
        <sz val="11"/>
        <rFont val="方正楷体_GBK"/>
        <charset val="134"/>
      </rPr>
      <t>（六）特别国债</t>
    </r>
  </si>
  <si>
    <t>增量利息全部计入一般公共预算</t>
  </si>
  <si>
    <r>
      <rPr>
        <sz val="11"/>
        <color indexed="8"/>
        <rFont val="方正黑体_GBK"/>
        <charset val="134"/>
      </rPr>
      <t>六、上解支出</t>
    </r>
  </si>
  <si>
    <r>
      <rPr>
        <sz val="11"/>
        <color indexed="8"/>
        <rFont val="Arial"/>
        <charset val="134"/>
      </rPr>
      <t xml:space="preserve">      1.</t>
    </r>
    <r>
      <rPr>
        <sz val="11"/>
        <color indexed="8"/>
        <rFont val="宋体"/>
        <charset val="134"/>
      </rPr>
      <t>基础设施建设</t>
    </r>
  </si>
  <si>
    <r>
      <rPr>
        <sz val="11"/>
        <color indexed="8"/>
        <rFont val="方正黑体_GBK"/>
        <charset val="134"/>
      </rPr>
      <t>七、调出资金</t>
    </r>
  </si>
  <si>
    <r>
      <rPr>
        <sz val="11"/>
        <color indexed="8"/>
        <rFont val="Arial"/>
        <charset val="134"/>
      </rPr>
      <t xml:space="preserve">      2.</t>
    </r>
    <r>
      <rPr>
        <sz val="11"/>
        <color indexed="8"/>
        <rFont val="宋体"/>
        <charset val="134"/>
      </rPr>
      <t>防疫及应急体系</t>
    </r>
  </si>
  <si>
    <t>八、政府性基金总财力</t>
  </si>
  <si>
    <r>
      <rPr>
        <sz val="11"/>
        <color indexed="8"/>
        <rFont val="Arial"/>
        <charset val="134"/>
      </rPr>
      <t xml:space="preserve">      3.</t>
    </r>
    <r>
      <rPr>
        <sz val="11"/>
        <color indexed="8"/>
        <rFont val="宋体"/>
        <charset val="134"/>
      </rPr>
      <t>困难群众补助</t>
    </r>
  </si>
  <si>
    <r>
      <rPr>
        <sz val="11"/>
        <color indexed="8"/>
        <rFont val="方正楷体_GBK"/>
        <charset val="134"/>
      </rPr>
      <t>（一）区本级财力</t>
    </r>
  </si>
  <si>
    <r>
      <rPr>
        <sz val="11"/>
        <color indexed="8"/>
        <rFont val="Arial"/>
        <charset val="134"/>
      </rPr>
      <t xml:space="preserve">      4.</t>
    </r>
    <r>
      <rPr>
        <sz val="11"/>
        <color indexed="8"/>
        <rFont val="宋体"/>
        <charset val="134"/>
      </rPr>
      <t>粮食安全、教育事业</t>
    </r>
  </si>
  <si>
    <r>
      <rPr>
        <sz val="11"/>
        <color indexed="8"/>
        <rFont val="方正楷体_GBK"/>
        <charset val="134"/>
      </rPr>
      <t>（二）街镇级财力</t>
    </r>
  </si>
  <si>
    <r>
      <rPr>
        <sz val="11"/>
        <color indexed="8"/>
        <rFont val="方正黑体_GBK"/>
        <charset val="134"/>
      </rPr>
      <t>三、本级预算结余</t>
    </r>
  </si>
  <si>
    <t>綦江区国有资本经营预算2021年收支预算草案表</t>
  </si>
  <si>
    <t>收入及财力</t>
  </si>
  <si>
    <t>支出</t>
  </si>
  <si>
    <r>
      <t>2018</t>
    </r>
    <r>
      <rPr>
        <b/>
        <sz val="11"/>
        <rFont val="宋体"/>
        <charset val="134"/>
      </rPr>
      <t>年决算数</t>
    </r>
  </si>
  <si>
    <r>
      <t>2019</t>
    </r>
    <r>
      <rPr>
        <b/>
        <sz val="11"/>
        <rFont val="宋体"/>
        <charset val="134"/>
      </rPr>
      <t>年决算数</t>
    </r>
  </si>
  <si>
    <r>
      <t>2020</t>
    </r>
    <r>
      <rPr>
        <b/>
        <sz val="11"/>
        <rFont val="宋体"/>
        <charset val="134"/>
      </rPr>
      <t>年预算调整草案</t>
    </r>
  </si>
  <si>
    <r>
      <t>2020</t>
    </r>
    <r>
      <rPr>
        <b/>
        <sz val="11"/>
        <rFont val="宋体"/>
        <charset val="134"/>
      </rPr>
      <t>年执行数</t>
    </r>
  </si>
  <si>
    <r>
      <t>2021</t>
    </r>
    <r>
      <rPr>
        <b/>
        <sz val="11"/>
        <rFont val="宋体"/>
        <charset val="134"/>
      </rPr>
      <t>年预算草案</t>
    </r>
  </si>
  <si>
    <t>一、国有资本经营预算收入</t>
  </si>
  <si>
    <t>一、国有资本经营预算支出</t>
  </si>
  <si>
    <t>（一）国有独资企业按规定上缴利润</t>
  </si>
  <si>
    <t>（一）公益性投资支出</t>
  </si>
  <si>
    <r>
      <t xml:space="preserve">  1</t>
    </r>
    <r>
      <rPr>
        <sz val="11"/>
        <rFont val="宋体"/>
        <charset val="134"/>
      </rPr>
      <t>、渝南公司</t>
    </r>
  </si>
  <si>
    <t>（二）国有企业资本金注入</t>
  </si>
  <si>
    <r>
      <t xml:space="preserve">  2</t>
    </r>
    <r>
      <rPr>
        <sz val="11"/>
        <rFont val="宋体"/>
        <charset val="134"/>
      </rPr>
      <t>、南州水务</t>
    </r>
  </si>
  <si>
    <t>（三）其他国有资本经营预算支出</t>
  </si>
  <si>
    <r>
      <t xml:space="preserve">  3</t>
    </r>
    <r>
      <rPr>
        <sz val="11"/>
        <rFont val="宋体"/>
        <charset val="134"/>
      </rPr>
      <t>、城投集团（东部新城）</t>
    </r>
  </si>
  <si>
    <t>（四）解决历史遗留问题及改革成本支出</t>
  </si>
  <si>
    <r>
      <t xml:space="preserve">  4</t>
    </r>
    <r>
      <rPr>
        <sz val="11"/>
        <rFont val="宋体"/>
        <charset val="134"/>
      </rPr>
      <t>、南州旅游</t>
    </r>
  </si>
  <si>
    <t>二、结转下年使用</t>
  </si>
  <si>
    <r>
      <t xml:space="preserve">  5</t>
    </r>
    <r>
      <rPr>
        <sz val="11"/>
        <rFont val="宋体"/>
        <charset val="134"/>
      </rPr>
      <t>、交通实业集团</t>
    </r>
  </si>
  <si>
    <r>
      <t xml:space="preserve">  6</t>
    </r>
    <r>
      <rPr>
        <sz val="11"/>
        <rFont val="宋体"/>
        <charset val="134"/>
      </rPr>
      <t>、南州投资公司</t>
    </r>
  </si>
  <si>
    <r>
      <t xml:space="preserve">  7</t>
    </r>
    <r>
      <rPr>
        <sz val="11"/>
        <rFont val="宋体"/>
        <charset val="134"/>
      </rPr>
      <t>、地产公司</t>
    </r>
  </si>
  <si>
    <r>
      <t xml:space="preserve">  8</t>
    </r>
    <r>
      <rPr>
        <sz val="11"/>
        <rFont val="宋体"/>
        <charset val="134"/>
      </rPr>
      <t>、兴农担保</t>
    </r>
  </si>
  <si>
    <r>
      <t xml:space="preserve">  9</t>
    </r>
    <r>
      <rPr>
        <sz val="10"/>
        <rFont val="宋体"/>
        <charset val="134"/>
      </rPr>
      <t>、其他国有公司</t>
    </r>
  </si>
  <si>
    <r>
      <t xml:space="preserve">  10</t>
    </r>
    <r>
      <rPr>
        <sz val="11"/>
        <rFont val="宋体"/>
        <charset val="134"/>
      </rPr>
      <t>、綦江保安服务有限公司</t>
    </r>
  </si>
  <si>
    <r>
      <t xml:space="preserve">  11</t>
    </r>
    <r>
      <rPr>
        <sz val="11"/>
        <rFont val="宋体"/>
        <charset val="134"/>
      </rPr>
      <t>、永诚投资、南州劳务</t>
    </r>
  </si>
  <si>
    <t>（二）资产及股权处置</t>
  </si>
  <si>
    <r>
      <t>1</t>
    </r>
    <r>
      <rPr>
        <sz val="11"/>
        <rFont val="宋体"/>
        <charset val="134"/>
      </rPr>
      <t>、国有资产处置及股权处置</t>
    </r>
  </si>
  <si>
    <t>二、上年结转</t>
  </si>
  <si>
    <t>三、上级补助收入</t>
  </si>
  <si>
    <t>四、调出资金</t>
  </si>
  <si>
    <t>五、国有资本经营预算财力</t>
  </si>
</sst>
</file>

<file path=xl/styles.xml><?xml version="1.0" encoding="utf-8"?>
<styleSheet xmlns="http://schemas.openxmlformats.org/spreadsheetml/2006/main">
  <numFmts count="39">
    <numFmt numFmtId="176" formatCode="_-&quot;$&quot;* #,##0.00_-;\-&quot;$&quot;* #,##0.00_-;_-&quot;$&quot;* &quot;-&quot;??_-;_-@_-"/>
    <numFmt numFmtId="44" formatCode="_ &quot;￥&quot;* #,##0.00_ ;_ &quot;￥&quot;* \-#,##0.00_ ;_ &quot;￥&quot;* &quot;-&quot;??_ ;_ @_ "/>
    <numFmt numFmtId="177" formatCode="0.00_)"/>
    <numFmt numFmtId="178" formatCode="#,##0_ "/>
    <numFmt numFmtId="41" formatCode="_ * #,##0_ ;_ * \-#,##0_ ;_ * &quot;-&quot;_ ;_ @_ "/>
    <numFmt numFmtId="43" formatCode="_ * #,##0.00_ ;_ * \-#,##0.00_ ;_ * &quot;-&quot;??_ ;_ @_ "/>
    <numFmt numFmtId="179" formatCode="_-* #,##0_-;\-* #,##0_-;_-* &quot;-&quot;_-;_-@_-"/>
    <numFmt numFmtId="42" formatCode="_ &quot;￥&quot;* #,##0_ ;_ &quot;￥&quot;* \-#,##0_ ;_ &quot;￥&quot;* &quot;-&quot;_ ;_ @_ "/>
    <numFmt numFmtId="180" formatCode="_-&quot;$&quot;\ * #,##0_-;_-&quot;$&quot;\ * #,##0\-;_-&quot;$&quot;\ * &quot;-&quot;_-;_-@_-"/>
    <numFmt numFmtId="181" formatCode="#\ ??/??"/>
    <numFmt numFmtId="182" formatCode="_-* #,##0.00_-;\-* #,##0.00_-;_-* &quot;-&quot;??_-;_-@_-"/>
    <numFmt numFmtId="183" formatCode="#,##0.0_);\(#,##0.0\)"/>
    <numFmt numFmtId="184" formatCode="&quot;$&quot;\ #,##0.00_-;[Red]&quot;$&quot;\ #,##0.00\-"/>
    <numFmt numFmtId="185" formatCode="_(&quot;$&quot;* #,##0.00_);_(&quot;$&quot;* \(#,##0.00\);_(&quot;$&quot;* &quot;-&quot;??_);_(@_)"/>
    <numFmt numFmtId="186" formatCode="_-* #,##0\ _F_-;\-* #,##0\ _F_-;_-* &quot;-&quot;\ _F_-;_-@_-"/>
    <numFmt numFmtId="187" formatCode="&quot;\&quot;&quot;\&quot;&quot;\&quot;&quot;\&quot;&quot;\&quot;&quot;\&quot;&quot;\&quot;&quot;\&quot;\$#,##0_);[Red]&quot;\&quot;&quot;\&quot;&quot;\&quot;&quot;\&quot;&quot;\&quot;&quot;\&quot;&quot;\&quot;&quot;\&quot;\(&quot;\&quot;&quot;\&quot;&quot;\&quot;&quot;\&quot;&quot;\&quot;&quot;\&quot;&quot;\&quot;&quot;\&quot;\$#,##0&quot;\&quot;&quot;\&quot;&quot;\&quot;&quot;\&quot;&quot;\&quot;&quot;\&quot;&quot;\&quot;&quot;\&quot;\)"/>
    <numFmt numFmtId="188" formatCode="#,##0;\(#,##0\)"/>
    <numFmt numFmtId="189" formatCode="_-&quot;$&quot;\ * #,##0.00_-;_-&quot;$&quot;\ * #,##0.00\-;_-&quot;$&quot;\ * &quot;-&quot;??_-;_-@_-"/>
    <numFmt numFmtId="190" formatCode="_-* #,##0.00\ _F_-;\-* #,##0.00\ _F_-;_-* &quot;-&quot;??\ _F_-;_-@_-"/>
    <numFmt numFmtId="191" formatCode="\$#,##0;\(\$#,##0\)"/>
    <numFmt numFmtId="192" formatCode="\$#,##0.00;\(\$#,##0.00\)"/>
    <numFmt numFmtId="193" formatCode="&quot;$&quot;#,##0.00_);[Red]\(&quot;$&quot;#,##0.00\)"/>
    <numFmt numFmtId="194" formatCode="&quot;$&quot;#,##0_);[Red]\(&quot;$&quot;#,##0\)"/>
    <numFmt numFmtId="195" formatCode="_(&quot;$&quot;* #,##0.0_);_(&quot;$&quot;* \(#,##0.0\);_(&quot;$&quot;* &quot;-&quot;??_);_(@_)"/>
    <numFmt numFmtId="196" formatCode="_(&quot;$&quot;* #,##0_);_(&quot;$&quot;* \(#,##0\);_(&quot;$&quot;* &quot;-&quot;_);_(@_)"/>
    <numFmt numFmtId="197" formatCode="_-&quot;$&quot;* #,##0_-;\-&quot;$&quot;* #,##0_-;_-&quot;$&quot;* &quot;-&quot;_-;_-@_-"/>
    <numFmt numFmtId="198" formatCode="0.0_ ;[Red]\-0.0\ "/>
    <numFmt numFmtId="199" formatCode="_(&quot;$&quot;* #,##0_);_(&quot;$&quot;* \(#,##0\);_(&quot;$&quot;* &quot;-&quot;??_);_(@_)"/>
    <numFmt numFmtId="200" formatCode="mmm\ dd\,\ yy"/>
    <numFmt numFmtId="201" formatCode="mm/dd/yy_)"/>
    <numFmt numFmtId="202" formatCode="yy\.mm\.dd"/>
    <numFmt numFmtId="203" formatCode="_-* #,##0.00\ &quot;F&quot;_-;\-* #,##0.00\ &quot;F&quot;_-;_-* &quot;-&quot;??\ &quot;F&quot;_-;_-@_-"/>
    <numFmt numFmtId="204" formatCode="#,##0_);[Red]\(#,##0\)"/>
    <numFmt numFmtId="205" formatCode="&quot;\&quot;#,##0.00;[Red]&quot;\&quot;\-#,##0.00"/>
    <numFmt numFmtId="206" formatCode="&quot;\&quot;#,##0;[Red]&quot;\&quot;\-#,##0"/>
    <numFmt numFmtId="207" formatCode="#,##0.000_ ;[Red]\-#,##0.000\ "/>
    <numFmt numFmtId="208" formatCode="#,##0_ ;[Red]\-#,##0\ "/>
    <numFmt numFmtId="209" formatCode="0_ ;[Red]\-0\ "/>
    <numFmt numFmtId="210" formatCode="#,##0.0_ ;[Red]\-#,##0.0\ "/>
  </numFmts>
  <fonts count="110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8"/>
      <name val="方正小标宋_GBK"/>
      <charset val="134"/>
    </font>
    <font>
      <sz val="11"/>
      <name val="宋体"/>
      <charset val="134"/>
    </font>
    <font>
      <sz val="11"/>
      <name val="Arial"/>
      <charset val="134"/>
    </font>
    <font>
      <b/>
      <sz val="11"/>
      <name val="宋体"/>
      <charset val="134"/>
    </font>
    <font>
      <b/>
      <sz val="11"/>
      <name val="Arial"/>
      <charset val="134"/>
    </font>
    <font>
      <sz val="11"/>
      <name val="方正黑体_GBK"/>
      <charset val="134"/>
    </font>
    <font>
      <sz val="11"/>
      <name val="方正楷体_GBK"/>
      <charset val="134"/>
    </font>
    <font>
      <sz val="11"/>
      <name val="方正仿宋_GBK"/>
      <charset val="134"/>
    </font>
    <font>
      <sz val="11"/>
      <color indexed="8"/>
      <name val="Arial"/>
      <charset val="134"/>
    </font>
    <font>
      <sz val="18"/>
      <color indexed="8"/>
      <name val="方正小标宋_GBK"/>
      <charset val="134"/>
    </font>
    <font>
      <sz val="11"/>
      <color indexed="8"/>
      <name val="宋体"/>
      <charset val="134"/>
    </font>
    <font>
      <sz val="11"/>
      <color indexed="8"/>
      <name val="宋体"/>
      <charset val="134"/>
      <scheme val="minor"/>
    </font>
    <font>
      <sz val="11"/>
      <color indexed="8"/>
      <name val="方正楷体_GBK"/>
      <charset val="134"/>
    </font>
    <font>
      <sz val="11"/>
      <color indexed="8"/>
      <name val="方正黑体_GBK"/>
      <charset val="134"/>
    </font>
    <font>
      <b/>
      <sz val="11"/>
      <color indexed="8"/>
      <name val="Arial"/>
      <charset val="134"/>
    </font>
    <font>
      <sz val="11"/>
      <color rgb="FF000000"/>
      <name val="宋体"/>
      <charset val="134"/>
    </font>
    <font>
      <sz val="12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2"/>
      <color indexed="8"/>
      <name val="宋体"/>
      <charset val="134"/>
    </font>
    <font>
      <b/>
      <sz val="12"/>
      <color indexed="8"/>
      <name val="宋体"/>
      <charset val="134"/>
    </font>
    <font>
      <sz val="11"/>
      <color theme="1"/>
      <name val="宋体"/>
      <charset val="134"/>
    </font>
    <font>
      <sz val="11"/>
      <color indexed="8"/>
      <name val="黑体"/>
      <charset val="134"/>
    </font>
    <font>
      <b/>
      <sz val="11"/>
      <color indexed="8"/>
      <name val="方正黑体_GBK"/>
      <charset val="134"/>
    </font>
    <font>
      <b/>
      <sz val="12"/>
      <color theme="0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2"/>
      <name val="宋体"/>
      <charset val="134"/>
      <scheme val="minor"/>
    </font>
    <font>
      <b/>
      <sz val="11"/>
      <color indexed="8"/>
      <name val="宋体"/>
      <charset val="134"/>
    </font>
    <font>
      <sz val="12"/>
      <color indexed="10"/>
      <name val="宋体"/>
      <charset val="134"/>
    </font>
    <font>
      <b/>
      <sz val="12"/>
      <color indexed="8"/>
      <name val="方正楷体_GBK"/>
      <charset val="134"/>
    </font>
    <font>
      <sz val="12"/>
      <color indexed="8"/>
      <name val="Times New Roman"/>
      <charset val="134"/>
    </font>
    <font>
      <sz val="11"/>
      <color rgb="FFFF0000"/>
      <name val="宋体"/>
      <charset val="0"/>
      <scheme val="minor"/>
    </font>
    <font>
      <b/>
      <sz val="8"/>
      <name val="MS Sans Serif"/>
      <charset val="134"/>
    </font>
    <font>
      <b/>
      <sz val="18"/>
      <color theme="3"/>
      <name val="宋体"/>
      <charset val="134"/>
      <scheme val="minor"/>
    </font>
    <font>
      <sz val="12"/>
      <name val="Times New Roman"/>
      <charset val="134"/>
    </font>
    <font>
      <sz val="12"/>
      <color indexed="9"/>
      <name val="宋体"/>
      <charset val="134"/>
    </font>
    <font>
      <sz val="8"/>
      <name val="Times New Roman"/>
      <charset val="134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indexed="9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color indexed="18"/>
      <name val="宋体"/>
      <charset val="134"/>
    </font>
    <font>
      <u/>
      <sz val="7.5"/>
      <color indexed="12"/>
      <name val="Arial"/>
      <charset val="134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i/>
      <sz val="16"/>
      <name val="Helv"/>
      <charset val="134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0"/>
      <name val="Arial"/>
      <charset val="134"/>
    </font>
    <font>
      <sz val="10"/>
      <name val="Geneva"/>
      <charset val="134"/>
    </font>
    <font>
      <i/>
      <sz val="11"/>
      <color rgb="FF7F7F7F"/>
      <name val="宋体"/>
      <charset val="0"/>
      <scheme val="minor"/>
    </font>
    <font>
      <b/>
      <sz val="12"/>
      <name val="Arial"/>
      <charset val="134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2"/>
      <color indexed="9"/>
      <name val="宋体"/>
      <charset val="134"/>
    </font>
    <font>
      <b/>
      <sz val="15"/>
      <color theme="3"/>
      <name val="宋体"/>
      <charset val="134"/>
      <scheme val="minor"/>
    </font>
    <font>
      <sz val="11"/>
      <color indexed="20"/>
      <name val="宋体"/>
      <charset val="134"/>
    </font>
    <font>
      <sz val="10"/>
      <color indexed="16"/>
      <name val="MS Serif"/>
      <charset val="134"/>
    </font>
    <font>
      <b/>
      <sz val="13"/>
      <color theme="3"/>
      <name val="宋体"/>
      <charset val="134"/>
      <scheme val="minor"/>
    </font>
    <font>
      <u/>
      <sz val="7.5"/>
      <color indexed="36"/>
      <name val="Arial"/>
      <charset val="134"/>
    </font>
    <font>
      <sz val="10"/>
      <name val="Helv"/>
      <charset val="134"/>
    </font>
    <font>
      <b/>
      <sz val="15"/>
      <color indexed="56"/>
      <name val="宋体"/>
      <charset val="134"/>
    </font>
    <font>
      <b/>
      <sz val="18"/>
      <color indexed="56"/>
      <name val="宋体"/>
      <charset val="134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60"/>
      <name val="宋体"/>
      <charset val="134"/>
    </font>
    <font>
      <b/>
      <sz val="11"/>
      <color indexed="56"/>
      <name val="宋体"/>
      <charset val="134"/>
    </font>
    <font>
      <b/>
      <sz val="13"/>
      <color indexed="56"/>
      <name val="宋体"/>
      <charset val="134"/>
    </font>
    <font>
      <sz val="7"/>
      <name val="Small Fonts"/>
      <charset val="134"/>
    </font>
    <font>
      <sz val="12"/>
      <color indexed="20"/>
      <name val="宋体"/>
      <charset val="134"/>
    </font>
    <font>
      <sz val="12"/>
      <color indexed="17"/>
      <name val="宋体"/>
      <charset val="134"/>
    </font>
    <font>
      <b/>
      <sz val="14"/>
      <name val="楷体"/>
      <charset val="134"/>
    </font>
    <font>
      <b/>
      <sz val="18"/>
      <name val="Arial"/>
      <charset val="134"/>
    </font>
    <font>
      <b/>
      <sz val="18"/>
      <color indexed="8"/>
      <name val="宋体"/>
      <charset val="134"/>
    </font>
    <font>
      <sz val="12"/>
      <color indexed="19"/>
      <name val="宋体"/>
      <charset val="134"/>
    </font>
    <font>
      <b/>
      <sz val="8"/>
      <color indexed="8"/>
      <name val="Helv"/>
      <charset val="134"/>
    </font>
    <font>
      <sz val="9"/>
      <name val="宋体"/>
      <charset val="134"/>
    </font>
    <font>
      <sz val="11"/>
      <color indexed="62"/>
      <name val="宋体"/>
      <charset val="134"/>
    </font>
    <font>
      <sz val="10"/>
      <name val="楷体"/>
      <charset val="134"/>
    </font>
    <font>
      <sz val="12"/>
      <name val="Helv"/>
      <charset val="134"/>
    </font>
    <font>
      <sz val="12"/>
      <name val="¹UAAA¼"/>
      <charset val="134"/>
    </font>
    <font>
      <b/>
      <sz val="10"/>
      <name val="MS Sans Serif"/>
      <charset val="134"/>
    </font>
    <font>
      <b/>
      <sz val="12"/>
      <color indexed="10"/>
      <name val="宋体"/>
      <charset val="134"/>
    </font>
    <font>
      <sz val="10"/>
      <name val="Times New Roman"/>
      <charset val="134"/>
    </font>
    <font>
      <sz val="10"/>
      <name val="MS Serif"/>
      <charset val="134"/>
    </font>
    <font>
      <b/>
      <sz val="9"/>
      <name val="Arial"/>
      <charset val="134"/>
    </font>
    <font>
      <sz val="8"/>
      <name val="Arial"/>
      <charset val="134"/>
    </font>
    <font>
      <sz val="11"/>
      <color indexed="17"/>
      <name val="宋体"/>
      <charset val="134"/>
    </font>
    <font>
      <sz val="12"/>
      <color indexed="9"/>
      <name val="Helv"/>
      <charset val="134"/>
    </font>
    <font>
      <sz val="8"/>
      <name val="MS Sans Serif"/>
      <charset val="134"/>
    </font>
    <font>
      <b/>
      <sz val="10"/>
      <name val="Tms Rmn"/>
      <charset val="134"/>
    </font>
    <font>
      <b/>
      <sz val="10"/>
      <name val="Arial"/>
      <charset val="134"/>
    </font>
    <font>
      <sz val="10"/>
      <color indexed="8"/>
      <name val="MS Sans Serif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sz val="12"/>
      <name val="뼻뮝"/>
      <charset val="134"/>
    </font>
    <font>
      <sz val="11"/>
      <name val="蹈框"/>
      <charset val="134"/>
    </font>
    <font>
      <b/>
      <sz val="11"/>
      <color indexed="63"/>
      <name val="宋体"/>
      <charset val="134"/>
    </font>
    <font>
      <sz val="12"/>
      <name val="Courier"/>
      <charset val="134"/>
    </font>
    <font>
      <sz val="10"/>
      <name val="MS Sans Serif"/>
      <charset val="134"/>
    </font>
    <font>
      <sz val="10"/>
      <name val="굴림체"/>
      <charset val="134"/>
    </font>
    <font>
      <sz val="10"/>
      <name val="宋体"/>
      <charset val="134"/>
    </font>
  </fonts>
  <fills count="71">
    <fill>
      <patternFill patternType="none"/>
    </fill>
    <fill>
      <patternFill patternType="gray125"/>
    </fill>
    <fill>
      <patternFill patternType="solid">
        <fgColor theme="9" tint="0.79976805932798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27"/>
        <bgColor indexed="64"/>
      </patternFill>
    </fill>
    <fill>
      <patternFill patternType="lightUp">
        <fgColor indexed="9"/>
        <bgColor indexed="27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gray0625"/>
    </fill>
    <fill>
      <patternFill patternType="mediumGray">
        <fgColor indexed="22"/>
      </patternFill>
    </fill>
    <fill>
      <patternFill patternType="darkVertical"/>
    </fill>
    <fill>
      <patternFill patternType="gray125"/>
    </fill>
    <fill>
      <patternFill patternType="lightUp">
        <fgColor indexed="9"/>
        <bgColor indexed="49"/>
      </patternFill>
    </fill>
    <fill>
      <patternFill patternType="lightUp">
        <fgColor indexed="9"/>
        <bgColor indexed="10"/>
      </patternFill>
    </fill>
    <fill>
      <patternFill patternType="lightUp">
        <fgColor indexed="9"/>
        <bgColor indexed="57"/>
      </patternFill>
    </fill>
  </fills>
  <borders count="6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31"/>
      </left>
      <right style="thin">
        <color indexed="62"/>
      </right>
      <top style="thin">
        <color indexed="31"/>
      </top>
      <bottom style="thin">
        <color indexed="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  <diagonal/>
    </border>
    <border>
      <left/>
      <right/>
      <top/>
      <bottom style="medium">
        <color theme="4"/>
      </bottom>
      <diagonal/>
    </border>
    <border>
      <left/>
      <right/>
      <top style="double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1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22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  <diagonal/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medium">
        <color auto="1"/>
      </right>
      <top/>
      <bottom/>
      <diagonal/>
    </border>
  </borders>
  <cellStyleXfs count="62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43" fillId="8" borderId="0" applyNumberFormat="0" applyBorder="0" applyAlignment="0" applyProtection="0">
      <alignment vertical="center"/>
    </xf>
    <xf numFmtId="0" fontId="40" fillId="6" borderId="40" applyNumberFormat="0" applyAlignment="0" applyProtection="0">
      <alignment vertical="center"/>
    </xf>
    <xf numFmtId="0" fontId="38" fillId="0" borderId="0">
      <alignment horizontal="center" wrapText="1"/>
      <protection locked="0"/>
    </xf>
    <xf numFmtId="0" fontId="20" fillId="4" borderId="0" applyNumberFormat="0" applyBorder="0" applyAlignment="0" applyProtection="0"/>
    <xf numFmtId="41" fontId="0" fillId="0" borderId="0" applyFon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top"/>
      <protection locked="0"/>
    </xf>
    <xf numFmtId="43" fontId="0" fillId="0" borderId="0" applyFont="0" applyFill="0" applyBorder="0" applyAlignment="0" applyProtection="0">
      <alignment vertical="center"/>
    </xf>
    <xf numFmtId="0" fontId="27" fillId="0" borderId="0">
      <alignment vertical="center"/>
    </xf>
    <xf numFmtId="0" fontId="43" fillId="11" borderId="0" applyNumberFormat="0" applyBorder="0" applyAlignment="0" applyProtection="0">
      <alignment vertical="center"/>
    </xf>
    <xf numFmtId="0" fontId="44" fillId="9" borderId="42" applyNumberFormat="0" applyAlignment="0" applyProtection="0">
      <alignment vertical="center"/>
    </xf>
    <xf numFmtId="0" fontId="49" fillId="12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37" fillId="4" borderId="0" applyNumberFormat="0" applyBorder="0" applyAlignment="0" applyProtection="0"/>
    <xf numFmtId="0" fontId="55" fillId="0" borderId="0" applyNumberFormat="0" applyFill="0" applyBorder="0" applyAlignment="0" applyProtection="0"/>
    <xf numFmtId="49" fontId="27" fillId="0" borderId="0" applyFont="0" applyFill="0" applyBorder="0" applyAlignment="0" applyProtection="0"/>
    <xf numFmtId="0" fontId="39" fillId="1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61" fillId="18" borderId="0" applyNumberFormat="0" applyBorder="0" applyAlignment="0" applyProtection="0">
      <alignment vertical="center"/>
    </xf>
    <xf numFmtId="0" fontId="41" fillId="4" borderId="0" applyNumberFormat="0" applyBorder="0" applyAlignment="0" applyProtection="0">
      <alignment vertical="center"/>
    </xf>
    <xf numFmtId="0" fontId="0" fillId="19" borderId="50" applyNumberFormat="0" applyFont="0" applyAlignment="0" applyProtection="0">
      <alignment vertical="center"/>
    </xf>
    <xf numFmtId="0" fontId="27" fillId="0" borderId="0"/>
    <xf numFmtId="0" fontId="36" fillId="0" borderId="0"/>
    <xf numFmtId="0" fontId="53" fillId="0" borderId="0"/>
    <xf numFmtId="0" fontId="39" fillId="5" borderId="0" applyNumberFormat="0" applyBorder="0" applyAlignment="0" applyProtection="0">
      <alignment vertical="center"/>
    </xf>
    <xf numFmtId="0" fontId="62" fillId="0" borderId="0" applyNumberFormat="0" applyAlignment="0">
      <alignment horizontal="left"/>
    </xf>
    <xf numFmtId="0" fontId="47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27" fillId="0" borderId="0" applyFont="0" applyFill="0" applyBorder="0" applyAlignment="0" applyProtection="0"/>
    <xf numFmtId="0" fontId="27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60" fillId="0" borderId="48" applyNumberFormat="0" applyFill="0" applyAlignment="0" applyProtection="0">
      <alignment vertical="center"/>
    </xf>
    <xf numFmtId="0" fontId="36" fillId="0" borderId="0"/>
    <xf numFmtId="0" fontId="27" fillId="0" borderId="0">
      <alignment vertical="center"/>
    </xf>
    <xf numFmtId="0" fontId="63" fillId="0" borderId="48" applyNumberFormat="0" applyFill="0" applyAlignment="0" applyProtection="0">
      <alignment vertical="center"/>
    </xf>
    <xf numFmtId="0" fontId="37" fillId="16" borderId="0" applyNumberFormat="0" applyBorder="0" applyAlignment="0" applyProtection="0"/>
    <xf numFmtId="0" fontId="39" fillId="21" borderId="0" applyNumberFormat="0" applyBorder="0" applyAlignment="0" applyProtection="0">
      <alignment vertical="center"/>
    </xf>
    <xf numFmtId="0" fontId="47" fillId="0" borderId="44" applyNumberFormat="0" applyFill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42" fillId="7" borderId="41" applyNumberFormat="0" applyAlignment="0" applyProtection="0">
      <alignment vertical="center"/>
    </xf>
    <xf numFmtId="0" fontId="44" fillId="9" borderId="42" applyNumberFormat="0" applyAlignment="0" applyProtection="0">
      <alignment vertical="center"/>
    </xf>
    <xf numFmtId="0" fontId="52" fillId="0" borderId="0"/>
    <xf numFmtId="0" fontId="52" fillId="0" borderId="0"/>
    <xf numFmtId="0" fontId="57" fillId="7" borderId="40" applyNumberFormat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51" fillId="13" borderId="45" applyNumberFormat="0" applyAlignment="0" applyProtection="0">
      <alignment vertical="center"/>
    </xf>
    <xf numFmtId="0" fontId="12" fillId="0" borderId="0">
      <alignment vertical="center"/>
    </xf>
    <xf numFmtId="0" fontId="43" fillId="23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4" fillId="0" borderId="39">
      <alignment horizontal="center"/>
    </xf>
    <xf numFmtId="0" fontId="12" fillId="0" borderId="0">
      <alignment vertical="center"/>
    </xf>
    <xf numFmtId="0" fontId="46" fillId="0" borderId="43" applyNumberFormat="0" applyFill="0" applyAlignment="0" applyProtection="0">
      <alignment vertical="center"/>
    </xf>
    <xf numFmtId="0" fontId="56" fillId="0" borderId="46" applyNumberFormat="0" applyFill="0" applyAlignment="0" applyProtection="0">
      <alignment vertical="center"/>
    </xf>
    <xf numFmtId="179" fontId="27" fillId="0" borderId="0" applyFont="0" applyFill="0" applyBorder="0" applyAlignment="0" applyProtection="0"/>
    <xf numFmtId="0" fontId="68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9" fillId="0" borderId="53" applyNumberFormat="0" applyFill="0" applyAlignment="0" applyProtection="0">
      <alignment vertical="center"/>
    </xf>
    <xf numFmtId="0" fontId="69" fillId="27" borderId="0" applyNumberFormat="0" applyBorder="0" applyAlignment="0" applyProtection="0">
      <alignment vertical="center"/>
    </xf>
    <xf numFmtId="0" fontId="27" fillId="0" borderId="0">
      <alignment vertical="center"/>
    </xf>
    <xf numFmtId="0" fontId="43" fillId="29" borderId="0" applyNumberFormat="0" applyBorder="0" applyAlignment="0" applyProtection="0">
      <alignment vertical="center"/>
    </xf>
    <xf numFmtId="0" fontId="12" fillId="0" borderId="0"/>
    <xf numFmtId="0" fontId="61" fillId="18" borderId="0" applyNumberFormat="0" applyBorder="0" applyAlignment="0" applyProtection="0">
      <alignment vertical="center"/>
    </xf>
    <xf numFmtId="0" fontId="39" fillId="30" borderId="0" applyNumberFormat="0" applyBorder="0" applyAlignment="0" applyProtection="0">
      <alignment vertical="center"/>
    </xf>
    <xf numFmtId="0" fontId="43" fillId="31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4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74" fillId="18" borderId="0" applyNumberFormat="0" applyBorder="0" applyAlignment="0" applyProtection="0">
      <alignment vertical="center"/>
    </xf>
    <xf numFmtId="0" fontId="27" fillId="0" borderId="0" applyNumberFormat="0" applyFont="0" applyFill="0" applyBorder="0" applyAlignment="0" applyProtection="0">
      <alignment horizontal="left"/>
    </xf>
    <xf numFmtId="0" fontId="39" fillId="36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8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9" fillId="42" borderId="0" applyNumberFormat="0" applyBorder="0" applyAlignment="0" applyProtection="0">
      <alignment vertical="center"/>
    </xf>
    <xf numFmtId="0" fontId="43" fillId="43" borderId="0" applyNumberFormat="0" applyBorder="0" applyAlignment="0" applyProtection="0">
      <alignment vertical="center"/>
    </xf>
    <xf numFmtId="0" fontId="39" fillId="44" borderId="0" applyNumberFormat="0" applyBorder="0" applyAlignment="0" applyProtection="0">
      <alignment vertical="center"/>
    </xf>
    <xf numFmtId="0" fontId="52" fillId="0" borderId="0"/>
    <xf numFmtId="0" fontId="36" fillId="0" borderId="0"/>
    <xf numFmtId="0" fontId="36" fillId="0" borderId="0"/>
    <xf numFmtId="0" fontId="27" fillId="0" borderId="0"/>
    <xf numFmtId="0" fontId="52" fillId="0" borderId="0"/>
    <xf numFmtId="0" fontId="36" fillId="0" borderId="0"/>
    <xf numFmtId="0" fontId="52" fillId="0" borderId="0"/>
    <xf numFmtId="0" fontId="61" fillId="18" borderId="0" applyNumberFormat="0" applyBorder="0" applyAlignment="0" applyProtection="0">
      <alignment vertical="center"/>
    </xf>
    <xf numFmtId="0" fontId="27" fillId="0" borderId="0"/>
    <xf numFmtId="0" fontId="53" fillId="0" borderId="0"/>
    <xf numFmtId="0" fontId="27" fillId="0" borderId="0">
      <alignment vertical="center"/>
    </xf>
    <xf numFmtId="0" fontId="12" fillId="0" borderId="0">
      <alignment vertical="center"/>
    </xf>
    <xf numFmtId="0" fontId="53" fillId="0" borderId="0"/>
    <xf numFmtId="0" fontId="52" fillId="0" borderId="0" applyNumberFormat="0" applyFill="0" applyBorder="0" applyAlignment="0" applyProtection="0"/>
    <xf numFmtId="0" fontId="20" fillId="18" borderId="0" applyNumberFormat="0" applyBorder="0" applyAlignment="0" applyProtection="0"/>
    <xf numFmtId="0" fontId="27" fillId="0" borderId="0"/>
    <xf numFmtId="0" fontId="52" fillId="0" borderId="0" applyBorder="0"/>
    <xf numFmtId="0" fontId="77" fillId="0" borderId="0" applyNumberFormat="0" applyFill="0" applyBorder="0" applyAlignment="0" applyProtection="0"/>
    <xf numFmtId="0" fontId="27" fillId="0" borderId="0"/>
    <xf numFmtId="0" fontId="52" fillId="0" borderId="0"/>
    <xf numFmtId="49" fontId="27" fillId="0" borderId="0" applyFont="0" applyFill="0" applyBorder="0" applyAlignment="0" applyProtection="0"/>
    <xf numFmtId="0" fontId="12" fillId="26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/>
    <xf numFmtId="0" fontId="36" fillId="0" borderId="0"/>
    <xf numFmtId="0" fontId="53" fillId="0" borderId="0"/>
    <xf numFmtId="0" fontId="20" fillId="9" borderId="0" applyNumberFormat="0" applyBorder="0" applyAlignment="0" applyProtection="0"/>
    <xf numFmtId="0" fontId="52" fillId="0" borderId="0"/>
    <xf numFmtId="0" fontId="61" fillId="18" borderId="0" applyNumberFormat="0" applyBorder="0" applyAlignment="0" applyProtection="0">
      <alignment vertical="center"/>
    </xf>
    <xf numFmtId="0" fontId="36" fillId="0" borderId="0"/>
    <xf numFmtId="0" fontId="52" fillId="0" borderId="0"/>
    <xf numFmtId="0" fontId="27" fillId="0" borderId="49" applyNumberFormat="0" applyFont="0" applyFill="0" applyAlignment="0" applyProtection="0"/>
    <xf numFmtId="0" fontId="27" fillId="0" borderId="0">
      <alignment vertical="center"/>
    </xf>
    <xf numFmtId="0" fontId="36" fillId="0" borderId="0"/>
    <xf numFmtId="41" fontId="27" fillId="0" borderId="0" applyFont="0" applyFill="0" applyBorder="0" applyAlignment="0" applyProtection="0">
      <alignment vertical="center"/>
    </xf>
    <xf numFmtId="0" fontId="36" fillId="0" borderId="0"/>
    <xf numFmtId="0" fontId="27" fillId="0" borderId="0" applyNumberFormat="0" applyFont="0" applyFill="0" applyBorder="0" applyAlignment="0" applyProtection="0">
      <alignment horizontal="left"/>
    </xf>
    <xf numFmtId="0" fontId="27" fillId="0" borderId="0">
      <alignment vertical="center"/>
    </xf>
    <xf numFmtId="0" fontId="36" fillId="0" borderId="0"/>
    <xf numFmtId="0" fontId="59" fillId="17" borderId="47" applyNumberFormat="0" applyAlignment="0" applyProtection="0">
      <alignment vertical="center"/>
    </xf>
    <xf numFmtId="0" fontId="12" fillId="0" borderId="0">
      <alignment vertical="center"/>
    </xf>
    <xf numFmtId="0" fontId="65" fillId="0" borderId="0"/>
    <xf numFmtId="0" fontId="12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180" fontId="27" fillId="0" borderId="0" applyFont="0" applyFill="0" applyBorder="0" applyAlignment="0" applyProtection="0"/>
    <xf numFmtId="0" fontId="52" fillId="0" borderId="0"/>
    <xf numFmtId="0" fontId="12" fillId="3" borderId="0" applyNumberFormat="0" applyBorder="0" applyAlignment="0" applyProtection="0">
      <alignment vertical="center"/>
    </xf>
    <xf numFmtId="0" fontId="27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27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27" fillId="0" borderId="0" applyFont="0" applyFill="0" applyBorder="0" applyAlignment="0" applyProtection="0"/>
    <xf numFmtId="0" fontId="12" fillId="45" borderId="0" applyNumberFormat="0" applyBorder="0" applyAlignment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37" fillId="47" borderId="0" applyNumberFormat="0" applyBorder="0" applyAlignment="0" applyProtection="0"/>
    <xf numFmtId="0" fontId="12" fillId="46" borderId="0" applyNumberFormat="0" applyBorder="0" applyAlignment="0" applyProtection="0">
      <alignment vertical="center"/>
    </xf>
    <xf numFmtId="0" fontId="27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27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12" fillId="49" borderId="0" applyNumberFormat="0" applyBorder="0" applyAlignment="0" applyProtection="0">
      <alignment vertical="center"/>
    </xf>
    <xf numFmtId="0" fontId="12" fillId="49" borderId="0" applyNumberFormat="0" applyBorder="0" applyAlignment="0" applyProtection="0">
      <alignment vertical="center"/>
    </xf>
    <xf numFmtId="0" fontId="41" fillId="50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61" fillId="18" borderId="0" applyNumberFormat="0" applyBorder="0" applyAlignment="0" applyProtection="0">
      <alignment vertical="center"/>
    </xf>
    <xf numFmtId="0" fontId="52" fillId="0" borderId="0"/>
    <xf numFmtId="0" fontId="41" fillId="50" borderId="0" applyNumberFormat="0" applyBorder="0" applyAlignment="0" applyProtection="0">
      <alignment vertical="center"/>
    </xf>
    <xf numFmtId="0" fontId="41" fillId="4" borderId="0" applyNumberFormat="0" applyBorder="0" applyAlignment="0" applyProtection="0">
      <alignment vertical="center"/>
    </xf>
    <xf numFmtId="0" fontId="27" fillId="0" borderId="0">
      <alignment vertical="center"/>
    </xf>
    <xf numFmtId="0" fontId="41" fillId="48" borderId="0" applyNumberFormat="0" applyBorder="0" applyAlignment="0" applyProtection="0">
      <alignment vertical="center"/>
    </xf>
    <xf numFmtId="0" fontId="41" fillId="48" borderId="0" applyNumberFormat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41" fillId="51" borderId="0" applyNumberFormat="0" applyBorder="0" applyAlignment="0" applyProtection="0">
      <alignment vertical="center"/>
    </xf>
    <xf numFmtId="0" fontId="79" fillId="20" borderId="0" applyNumberFormat="0" applyBorder="0" applyAlignment="0" applyProtection="0">
      <alignment vertical="center"/>
    </xf>
    <xf numFmtId="0" fontId="41" fillId="51" borderId="0" applyNumberFormat="0" applyBorder="0" applyAlignment="0" applyProtection="0">
      <alignment vertical="center"/>
    </xf>
    <xf numFmtId="0" fontId="41" fillId="52" borderId="0" applyNumberFormat="0" applyBorder="0" applyAlignment="0" applyProtection="0">
      <alignment vertical="center"/>
    </xf>
    <xf numFmtId="0" fontId="61" fillId="18" borderId="0" applyNumberFormat="0" applyBorder="0" applyAlignment="0" applyProtection="0">
      <alignment vertical="center"/>
    </xf>
    <xf numFmtId="0" fontId="41" fillId="52" borderId="0" applyNumberFormat="0" applyBorder="0" applyAlignment="0" applyProtection="0">
      <alignment vertical="center"/>
    </xf>
    <xf numFmtId="0" fontId="41" fillId="53" borderId="0" applyNumberFormat="0" applyBorder="0" applyAlignment="0" applyProtection="0">
      <alignment vertical="center"/>
    </xf>
    <xf numFmtId="0" fontId="41" fillId="53" borderId="0" applyNumberFormat="0" applyBorder="0" applyAlignment="0" applyProtection="0">
      <alignment vertical="center"/>
    </xf>
    <xf numFmtId="0" fontId="65" fillId="0" borderId="0">
      <protection locked="0"/>
    </xf>
    <xf numFmtId="0" fontId="20" fillId="14" borderId="0" applyNumberFormat="0" applyBorder="0" applyAlignment="0" applyProtection="0"/>
    <xf numFmtId="0" fontId="20" fillId="46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27" fillId="0" borderId="0"/>
    <xf numFmtId="0" fontId="37" fillId="47" borderId="0" applyNumberFormat="0" applyBorder="0" applyAlignment="0" applyProtection="0"/>
    <xf numFmtId="0" fontId="12" fillId="0" borderId="0">
      <alignment vertical="center"/>
    </xf>
    <xf numFmtId="0" fontId="27" fillId="0" borderId="0">
      <alignment vertical="center"/>
    </xf>
    <xf numFmtId="0" fontId="37" fillId="54" borderId="0" applyNumberFormat="0" applyBorder="0" applyAlignment="0" applyProtection="0"/>
    <xf numFmtId="0" fontId="37" fillId="55" borderId="0" applyNumberFormat="0" applyBorder="0" applyAlignment="0" applyProtection="0"/>
    <xf numFmtId="0" fontId="55" fillId="0" borderId="56" applyNumberFormat="0" applyAlignment="0" applyProtection="0">
      <alignment horizontal="left" vertical="center"/>
    </xf>
    <xf numFmtId="0" fontId="12" fillId="0" borderId="0">
      <alignment vertical="center"/>
    </xf>
    <xf numFmtId="0" fontId="37" fillId="4" borderId="0" applyNumberFormat="0" applyBorder="0" applyAlignment="0" applyProtection="0"/>
    <xf numFmtId="40" fontId="80" fillId="0" borderId="0" applyBorder="0">
      <alignment horizontal="right"/>
    </xf>
    <xf numFmtId="0" fontId="37" fillId="55" borderId="0" applyNumberFormat="0" applyBorder="0" applyAlignment="0" applyProtection="0"/>
    <xf numFmtId="0" fontId="12" fillId="0" borderId="0">
      <alignment vertical="center"/>
    </xf>
    <xf numFmtId="0" fontId="37" fillId="56" borderId="0" applyNumberFormat="0" applyBorder="0" applyAlignment="0" applyProtection="0"/>
    <xf numFmtId="0" fontId="37" fillId="57" borderId="0" applyNumberFormat="0" applyBorder="0" applyAlignment="0" applyProtection="0"/>
    <xf numFmtId="0" fontId="12" fillId="0" borderId="0">
      <alignment vertical="center"/>
    </xf>
    <xf numFmtId="0" fontId="37" fillId="57" borderId="0" applyNumberFormat="0" applyBorder="0" applyAlignment="0" applyProtection="0"/>
    <xf numFmtId="0" fontId="12" fillId="0" borderId="0">
      <alignment vertical="center"/>
    </xf>
    <xf numFmtId="0" fontId="20" fillId="26" borderId="0" applyNumberFormat="0" applyBorder="0" applyAlignment="0" applyProtection="0"/>
    <xf numFmtId="0" fontId="37" fillId="52" borderId="0" applyNumberFormat="0" applyBorder="0" applyAlignment="0" applyProtection="0"/>
    <xf numFmtId="0" fontId="27" fillId="0" borderId="0" applyFont="0" applyFill="0" applyBorder="0" applyAlignment="0" applyProtection="0"/>
    <xf numFmtId="0" fontId="20" fillId="48" borderId="0" applyNumberFormat="0" applyBorder="0" applyAlignment="0" applyProtection="0"/>
    <xf numFmtId="184" fontId="27" fillId="0" borderId="0" applyFont="0" applyFill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12" fillId="0" borderId="0">
      <alignment vertical="center"/>
    </xf>
    <xf numFmtId="0" fontId="37" fillId="58" borderId="0" applyNumberFormat="0" applyBorder="0" applyAlignment="0" applyProtection="0"/>
    <xf numFmtId="0" fontId="83" fillId="0" borderId="33" applyNumberFormat="0" applyFill="0" applyProtection="0">
      <alignment horizontal="center"/>
    </xf>
    <xf numFmtId="0" fontId="27" fillId="0" borderId="0"/>
    <xf numFmtId="0" fontId="37" fillId="51" borderId="0" applyNumberFormat="0" applyBorder="0" applyAlignment="0" applyProtection="0"/>
    <xf numFmtId="0" fontId="12" fillId="0" borderId="0">
      <alignment vertical="center"/>
    </xf>
    <xf numFmtId="0" fontId="20" fillId="3" borderId="0" applyNumberFormat="0" applyBorder="0" applyAlignment="0" applyProtection="0"/>
    <xf numFmtId="9" fontId="27" fillId="0" borderId="0" applyFont="0" applyFill="0" applyBorder="0" applyAlignment="0" applyProtection="0"/>
    <xf numFmtId="0" fontId="61" fillId="18" borderId="0" applyNumberFormat="0" applyBorder="0" applyAlignment="0" applyProtection="0">
      <alignment vertical="center"/>
    </xf>
    <xf numFmtId="0" fontId="20" fillId="3" borderId="0" applyNumberFormat="0" applyBorder="0" applyAlignment="0" applyProtection="0"/>
    <xf numFmtId="0" fontId="37" fillId="51" borderId="0" applyNumberFormat="0" applyBorder="0" applyAlignment="0" applyProtection="0"/>
    <xf numFmtId="185" fontId="27" fillId="0" borderId="0" applyFont="0" applyFill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16" borderId="0" applyNumberFormat="0" applyBorder="0" applyAlignment="0" applyProtection="0"/>
    <xf numFmtId="0" fontId="12" fillId="0" borderId="0">
      <alignment vertical="center"/>
    </xf>
    <xf numFmtId="0" fontId="37" fillId="54" borderId="0" applyNumberFormat="0" applyBorder="0" applyAlignment="0" applyProtection="0"/>
    <xf numFmtId="0" fontId="27" fillId="0" borderId="0"/>
    <xf numFmtId="0" fontId="37" fillId="52" borderId="0" applyNumberFormat="0" applyBorder="0" applyAlignment="0" applyProtection="0"/>
    <xf numFmtId="0" fontId="12" fillId="0" borderId="0">
      <alignment vertical="center"/>
    </xf>
    <xf numFmtId="0" fontId="20" fillId="46" borderId="0" applyNumberFormat="0" applyBorder="0" applyAlignment="0" applyProtection="0"/>
    <xf numFmtId="0" fontId="37" fillId="52" borderId="0" applyNumberFormat="0" applyBorder="0" applyAlignment="0" applyProtection="0"/>
    <xf numFmtId="186" fontId="27" fillId="0" borderId="0" applyFont="0" applyFill="0" applyBorder="0" applyAlignment="0" applyProtection="0"/>
    <xf numFmtId="0" fontId="12" fillId="0" borderId="0">
      <alignment vertical="center"/>
    </xf>
    <xf numFmtId="0" fontId="37" fillId="52" borderId="0" applyNumberFormat="0" applyBorder="0" applyAlignment="0" applyProtection="0"/>
    <xf numFmtId="186" fontId="27" fillId="0" borderId="0" applyFont="0" applyFill="0" applyBorder="0" applyAlignment="0" applyProtection="0"/>
    <xf numFmtId="0" fontId="37" fillId="52" borderId="0" applyNumberFormat="0" applyBorder="0" applyAlignment="0" applyProtection="0"/>
    <xf numFmtId="0" fontId="20" fillId="45" borderId="0" applyNumberFormat="0" applyBorder="0" applyAlignment="0" applyProtection="0"/>
    <xf numFmtId="0" fontId="27" fillId="0" borderId="0"/>
    <xf numFmtId="0" fontId="20" fillId="49" borderId="0" applyNumberFormat="0" applyBorder="0" applyAlignment="0" applyProtection="0"/>
    <xf numFmtId="0" fontId="27" fillId="0" borderId="0"/>
    <xf numFmtId="0" fontId="27" fillId="0" borderId="0">
      <alignment vertical="center"/>
    </xf>
    <xf numFmtId="0" fontId="37" fillId="53" borderId="0" applyNumberFormat="0" applyBorder="0" applyAlignment="0" applyProtection="0"/>
    <xf numFmtId="0" fontId="75" fillId="26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12" fillId="0" borderId="0">
      <alignment vertical="center"/>
    </xf>
    <xf numFmtId="0" fontId="27" fillId="0" borderId="0"/>
    <xf numFmtId="0" fontId="27" fillId="0" borderId="0"/>
    <xf numFmtId="0" fontId="27" fillId="0" borderId="0" applyFont="0" applyFill="0" applyBorder="0" applyAlignment="0" applyProtection="0"/>
    <xf numFmtId="0" fontId="27" fillId="0" borderId="0"/>
    <xf numFmtId="0" fontId="38" fillId="0" borderId="0">
      <alignment horizontal="center" wrapText="1"/>
      <protection locked="0"/>
    </xf>
    <xf numFmtId="0" fontId="27" fillId="0" borderId="0"/>
    <xf numFmtId="0" fontId="27" fillId="0" borderId="0" applyFont="0" applyFill="0" applyBorder="0" applyAlignment="0" applyProtection="0"/>
    <xf numFmtId="183" fontId="84" fillId="59" borderId="0"/>
    <xf numFmtId="0" fontId="59" fillId="17" borderId="47" applyNumberFormat="0" applyAlignment="0" applyProtection="0">
      <alignment vertical="center"/>
    </xf>
    <xf numFmtId="0" fontId="30" fillId="60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/>
    <xf numFmtId="0" fontId="85" fillId="0" borderId="0"/>
    <xf numFmtId="0" fontId="85" fillId="0" borderId="0"/>
    <xf numFmtId="0" fontId="37" fillId="46" borderId="59" applyNumberFormat="0" applyAlignment="0" applyProtection="0">
      <alignment vertical="center"/>
    </xf>
    <xf numFmtId="37" fontId="73" fillId="0" borderId="0"/>
    <xf numFmtId="187" fontId="52" fillId="0" borderId="0" applyFill="0" applyBorder="0" applyAlignment="0"/>
    <xf numFmtId="0" fontId="37" fillId="46" borderId="59" applyNumberFormat="0" applyAlignment="0" applyProtection="0">
      <alignment vertical="center"/>
    </xf>
    <xf numFmtId="0" fontId="86" fillId="0" borderId="39">
      <alignment horizontal="center"/>
    </xf>
    <xf numFmtId="0" fontId="8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/>
    <xf numFmtId="0" fontId="61" fillId="18" borderId="0" applyNumberFormat="0" applyBorder="0" applyAlignment="0" applyProtection="0">
      <alignment vertical="center"/>
    </xf>
    <xf numFmtId="0" fontId="29" fillId="0" borderId="57" applyNumberFormat="0" applyFill="0" applyAlignment="0" applyProtection="0">
      <alignment vertical="center"/>
    </xf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0" fontId="71" fillId="0" borderId="54" applyNumberFormat="0" applyFill="0" applyAlignment="0" applyProtection="0">
      <alignment vertical="center"/>
    </xf>
    <xf numFmtId="188" fontId="88" fillId="0" borderId="0"/>
    <xf numFmtId="182" fontId="27" fillId="0" borderId="0" applyFont="0" applyFill="0" applyBorder="0" applyAlignment="0" applyProtection="0"/>
    <xf numFmtId="0" fontId="0" fillId="0" borderId="0">
      <alignment vertical="center"/>
    </xf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0" fontId="27" fillId="0" borderId="0"/>
    <xf numFmtId="190" fontId="27" fillId="0" borderId="0" applyFont="0" applyFill="0" applyBorder="0" applyAlignment="0" applyProtection="0"/>
    <xf numFmtId="0" fontId="89" fillId="0" borderId="0" applyNumberFormat="0" applyAlignment="0">
      <alignment horizontal="left"/>
    </xf>
    <xf numFmtId="180" fontId="27" fillId="0" borderId="0" applyFont="0" applyFill="0" applyBorder="0" applyAlignment="0" applyProtection="0"/>
    <xf numFmtId="189" fontId="27" fillId="0" borderId="0" applyFont="0" applyFill="0" applyBorder="0" applyAlignment="0" applyProtection="0"/>
    <xf numFmtId="0" fontId="90" fillId="0" borderId="0" applyNumberFormat="0" applyFill="0" applyBorder="0" applyAlignment="0" applyProtection="0"/>
    <xf numFmtId="192" fontId="88" fillId="0" borderId="0"/>
    <xf numFmtId="0" fontId="12" fillId="0" borderId="0">
      <alignment vertical="center"/>
    </xf>
    <xf numFmtId="182" fontId="27" fillId="0" borderId="0" applyFont="0" applyFill="0" applyBorder="0" applyAlignment="0" applyProtection="0"/>
    <xf numFmtId="0" fontId="12" fillId="0" borderId="0">
      <alignment vertical="center"/>
    </xf>
    <xf numFmtId="182" fontId="27" fillId="0" borderId="0" applyFont="0" applyFill="0" applyBorder="0" applyAlignment="0" applyProtection="0"/>
    <xf numFmtId="19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12" fillId="0" borderId="0">
      <alignment vertical="center"/>
    </xf>
    <xf numFmtId="191" fontId="88" fillId="0" borderId="0"/>
    <xf numFmtId="0" fontId="21" fillId="61" borderId="0" applyNumberFormat="0" applyBorder="0" applyAlignment="0" applyProtection="0">
      <alignment vertical="center"/>
    </xf>
    <xf numFmtId="0" fontId="27" fillId="0" borderId="0"/>
    <xf numFmtId="0" fontId="21" fillId="61" borderId="0" applyNumberFormat="0" applyBorder="0" applyAlignment="0" applyProtection="0">
      <alignment vertical="center"/>
    </xf>
    <xf numFmtId="2" fontId="27" fillId="0" borderId="0" applyFont="0" applyFill="0" applyBorder="0" applyAlignment="0" applyProtection="0"/>
    <xf numFmtId="0" fontId="70" fillId="28" borderId="0" applyNumberFormat="0" applyBorder="0" applyAlignment="0" applyProtection="0">
      <alignment vertical="center"/>
    </xf>
    <xf numFmtId="2" fontId="27" fillId="0" borderId="0" applyFont="0" applyFill="0" applyBorder="0" applyAlignment="0" applyProtection="0"/>
    <xf numFmtId="0" fontId="64" fillId="0" borderId="0" applyNumberFormat="0" applyFill="0" applyBorder="0" applyAlignment="0" applyProtection="0">
      <alignment vertical="top"/>
      <protection locked="0"/>
    </xf>
    <xf numFmtId="0" fontId="12" fillId="0" borderId="0">
      <alignment vertical="center"/>
    </xf>
    <xf numFmtId="0" fontId="27" fillId="0" borderId="0"/>
    <xf numFmtId="0" fontId="75" fillId="26" borderId="0" applyNumberFormat="0" applyBorder="0" applyAlignment="0" applyProtection="0">
      <alignment vertical="center"/>
    </xf>
    <xf numFmtId="4" fontId="27" fillId="0" borderId="0" applyFont="0" applyFill="0" applyBorder="0" applyAlignment="0" applyProtection="0"/>
    <xf numFmtId="0" fontId="27" fillId="0" borderId="0">
      <alignment vertical="center"/>
    </xf>
    <xf numFmtId="0" fontId="91" fillId="62" borderId="0" applyNumberFormat="0" applyBorder="0" applyAlignment="0" applyProtection="0"/>
    <xf numFmtId="0" fontId="72" fillId="0" borderId="55" applyNumberFormat="0" applyFill="0" applyAlignment="0" applyProtection="0">
      <alignment vertical="center"/>
    </xf>
    <xf numFmtId="0" fontId="91" fillId="62" borderId="0" applyNumberFormat="0" applyBorder="0" applyAlignment="0" applyProtection="0"/>
    <xf numFmtId="0" fontId="55" fillId="0" borderId="56" applyNumberFormat="0" applyAlignment="0" applyProtection="0">
      <alignment horizontal="left" vertical="center"/>
    </xf>
    <xf numFmtId="0" fontId="27" fillId="0" borderId="0">
      <alignment vertical="center"/>
    </xf>
    <xf numFmtId="0" fontId="92" fillId="26" borderId="0" applyNumberFormat="0" applyBorder="0" applyAlignment="0" applyProtection="0">
      <alignment vertical="center"/>
    </xf>
    <xf numFmtId="0" fontId="55" fillId="0" borderId="35">
      <alignment horizontal="left" vertical="center"/>
    </xf>
    <xf numFmtId="0" fontId="55" fillId="0" borderId="35">
      <alignment horizontal="left" vertical="center"/>
    </xf>
    <xf numFmtId="0" fontId="77" fillId="0" borderId="0" applyNumberFormat="0" applyFill="0" applyBorder="0" applyAlignment="0" applyProtection="0"/>
    <xf numFmtId="0" fontId="34" fillId="0" borderId="0">
      <alignment horizontal="center"/>
    </xf>
    <xf numFmtId="0" fontId="12" fillId="0" borderId="0">
      <alignment vertical="center"/>
    </xf>
    <xf numFmtId="0" fontId="91" fillId="20" borderId="1" applyNumberFormat="0" applyBorder="0" applyAlignment="0" applyProtection="0"/>
    <xf numFmtId="0" fontId="91" fillId="20" borderId="1" applyNumberFormat="0" applyBorder="0" applyAlignment="0" applyProtection="0"/>
    <xf numFmtId="0" fontId="53" fillId="0" borderId="0"/>
    <xf numFmtId="0" fontId="61" fillId="18" borderId="0" applyNumberFormat="0" applyBorder="0" applyAlignment="0" applyProtection="0">
      <alignment vertical="center"/>
    </xf>
    <xf numFmtId="0" fontId="27" fillId="0" borderId="60" applyNumberFormat="0" applyFont="0" applyAlignment="0"/>
    <xf numFmtId="0" fontId="12" fillId="0" borderId="0">
      <alignment vertical="center"/>
    </xf>
    <xf numFmtId="0" fontId="27" fillId="0" borderId="60" applyNumberFormat="0" applyFont="0" applyAlignment="0"/>
    <xf numFmtId="0" fontId="27" fillId="28" borderId="61" applyNumberFormat="0" applyFont="0" applyAlignment="0" applyProtection="0">
      <alignment vertical="center"/>
    </xf>
    <xf numFmtId="0" fontId="27" fillId="28" borderId="61" applyNumberFormat="0" applyFont="0" applyAlignment="0" applyProtection="0">
      <alignment vertical="center"/>
    </xf>
    <xf numFmtId="183" fontId="93" fillId="63" borderId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27" fillId="0" borderId="0"/>
    <xf numFmtId="180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0" fontId="79" fillId="20" borderId="0" applyNumberFormat="0" applyBorder="0" applyAlignment="0" applyProtection="0">
      <alignment vertical="center"/>
    </xf>
    <xf numFmtId="0" fontId="61" fillId="18" borderId="0" applyNumberFormat="0" applyBorder="0" applyAlignment="0" applyProtection="0">
      <alignment vertical="center"/>
    </xf>
    <xf numFmtId="0" fontId="88" fillId="0" borderId="0"/>
    <xf numFmtId="37" fontId="73" fillId="0" borderId="0"/>
    <xf numFmtId="0" fontId="94" fillId="0" borderId="0" applyNumberFormat="0" applyFill="0" applyBorder="0" applyAlignment="0">
      <alignment horizontal="center"/>
    </xf>
    <xf numFmtId="0" fontId="30" fillId="0" borderId="0" applyNumberFormat="0" applyFill="0" applyBorder="0" applyAlignment="0" applyProtection="0">
      <alignment vertical="center"/>
    </xf>
    <xf numFmtId="177" fontId="48" fillId="0" borderId="0"/>
    <xf numFmtId="0" fontId="65" fillId="0" borderId="0"/>
    <xf numFmtId="0" fontId="27" fillId="20" borderId="51" applyNumberFormat="0" applyFont="0" applyAlignment="0" applyProtection="0">
      <alignment vertical="center"/>
    </xf>
    <xf numFmtId="0" fontId="27" fillId="0" borderId="0">
      <alignment vertical="center"/>
    </xf>
    <xf numFmtId="0" fontId="27" fillId="20" borderId="51" applyNumberFormat="0" applyFont="0" applyAlignment="0" applyProtection="0">
      <alignment vertical="center"/>
    </xf>
    <xf numFmtId="181" fontId="27" fillId="0" borderId="0" applyFont="0" applyFill="0" applyProtection="0"/>
    <xf numFmtId="0" fontId="67" fillId="0" borderId="0" applyNumberFormat="0" applyFill="0" applyBorder="0" applyAlignment="0" applyProtection="0">
      <alignment vertical="center"/>
    </xf>
    <xf numFmtId="0" fontId="27" fillId="0" borderId="0">
      <alignment vertical="center"/>
    </xf>
    <xf numFmtId="182" fontId="27" fillId="0" borderId="0" applyFont="0" applyFill="0" applyBorder="0" applyAlignment="0" applyProtection="0"/>
    <xf numFmtId="0" fontId="27" fillId="0" borderId="0"/>
    <xf numFmtId="0" fontId="12" fillId="0" borderId="0">
      <alignment vertical="center"/>
    </xf>
    <xf numFmtId="14" fontId="38" fillId="0" borderId="0">
      <alignment horizontal="center" wrapText="1"/>
      <protection locked="0"/>
    </xf>
    <xf numFmtId="3" fontId="27" fillId="0" borderId="0" applyFon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14" fontId="38" fillId="0" borderId="0">
      <alignment horizontal="center" wrapText="1"/>
      <protection locked="0"/>
    </xf>
    <xf numFmtId="3" fontId="27" fillId="0" borderId="0" applyFont="0" applyFill="0" applyBorder="0" applyAlignment="0" applyProtection="0"/>
    <xf numFmtId="0" fontId="12" fillId="0" borderId="0">
      <alignment vertical="center"/>
    </xf>
    <xf numFmtId="0" fontId="27" fillId="0" borderId="0">
      <alignment vertical="center"/>
    </xf>
    <xf numFmtId="10" fontId="27" fillId="0" borderId="0" applyFont="0" applyFill="0" applyBorder="0" applyAlignment="0" applyProtection="0"/>
    <xf numFmtId="10" fontId="27" fillId="0" borderId="0" applyFont="0" applyFill="0" applyBorder="0" applyAlignment="0" applyProtection="0"/>
    <xf numFmtId="0" fontId="95" fillId="64" borderId="4">
      <protection locked="0"/>
    </xf>
    <xf numFmtId="0" fontId="27" fillId="0" borderId="0"/>
    <xf numFmtId="9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0" fontId="61" fillId="18" borderId="0" applyNumberFormat="0" applyBorder="0" applyAlignment="0" applyProtection="0">
      <alignment vertical="center"/>
    </xf>
    <xf numFmtId="4" fontId="27" fillId="0" borderId="0" applyFont="0" applyFill="0" applyBorder="0" applyAlignment="0" applyProtection="0"/>
    <xf numFmtId="0" fontId="81" fillId="0" borderId="0"/>
    <xf numFmtId="0" fontId="0" fillId="0" borderId="0">
      <alignment vertical="center"/>
    </xf>
    <xf numFmtId="0" fontId="27" fillId="65" borderId="0" applyNumberFormat="0" applyFont="0" applyBorder="0" applyAlignment="0" applyProtection="0"/>
    <xf numFmtId="0" fontId="27" fillId="65" borderId="0" applyNumberFormat="0" applyFont="0" applyBorder="0" applyAlignment="0" applyProtection="0"/>
    <xf numFmtId="0" fontId="82" fillId="45" borderId="58" applyNumberFormat="0" applyAlignment="0" applyProtection="0">
      <alignment vertical="center"/>
    </xf>
    <xf numFmtId="0" fontId="27" fillId="0" borderId="0"/>
    <xf numFmtId="0" fontId="27" fillId="66" borderId="0" applyNumberFormat="0" applyFont="0" applyBorder="0" applyAlignment="0">
      <alignment horizontal="center"/>
    </xf>
    <xf numFmtId="0" fontId="27" fillId="66" borderId="0" applyNumberFormat="0" applyFont="0" applyBorder="0" applyAlignment="0">
      <alignment horizontal="center"/>
    </xf>
    <xf numFmtId="0" fontId="52" fillId="0" borderId="0" applyNumberFormat="0" applyFill="0" applyBorder="0" applyAlignment="0" applyProtection="0">
      <alignment horizontal="left"/>
    </xf>
    <xf numFmtId="0" fontId="96" fillId="0" borderId="0" applyNumberFormat="0" applyFill="0" applyBorder="0" applyAlignment="0" applyProtection="0"/>
    <xf numFmtId="0" fontId="27" fillId="67" borderId="35" applyNumberFormat="0" applyFont="0" applyAlignment="0">
      <alignment horizontal="center"/>
    </xf>
    <xf numFmtId="0" fontId="27" fillId="67" borderId="35" applyNumberFormat="0" applyFont="0" applyAlignment="0">
      <alignment horizontal="center"/>
    </xf>
    <xf numFmtId="0" fontId="27" fillId="0" borderId="0"/>
    <xf numFmtId="0" fontId="78" fillId="0" borderId="0" applyNumberFormat="0" applyFill="0" applyBorder="0" applyAlignment="0" applyProtection="0">
      <alignment vertical="center"/>
    </xf>
    <xf numFmtId="0" fontId="95" fillId="64" borderId="4">
      <protection locked="0"/>
    </xf>
    <xf numFmtId="0" fontId="12" fillId="0" borderId="0">
      <alignment vertical="center"/>
    </xf>
    <xf numFmtId="0" fontId="97" fillId="0" borderId="0"/>
    <xf numFmtId="0" fontId="52" fillId="0" borderId="0"/>
    <xf numFmtId="0" fontId="95" fillId="64" borderId="4">
      <protection locked="0"/>
    </xf>
    <xf numFmtId="0" fontId="27" fillId="0" borderId="0">
      <alignment vertical="center"/>
    </xf>
    <xf numFmtId="0" fontId="27" fillId="0" borderId="49" applyNumberFormat="0" applyFont="0" applyFill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196" fontId="27" fillId="0" borderId="0" applyFont="0" applyFill="0" applyBorder="0" applyAlignment="0" applyProtection="0"/>
    <xf numFmtId="0" fontId="52" fillId="0" borderId="3" applyNumberFormat="0" applyFill="0" applyProtection="0">
      <alignment horizontal="right"/>
    </xf>
    <xf numFmtId="0" fontId="66" fillId="0" borderId="52" applyNumberFormat="0" applyFill="0" applyAlignment="0" applyProtection="0">
      <alignment vertical="center"/>
    </xf>
    <xf numFmtId="0" fontId="27" fillId="0" borderId="0"/>
    <xf numFmtId="0" fontId="66" fillId="0" borderId="52" applyNumberFormat="0" applyFill="0" applyAlignment="0" applyProtection="0">
      <alignment vertical="center"/>
    </xf>
    <xf numFmtId="0" fontId="27" fillId="0" borderId="0"/>
    <xf numFmtId="0" fontId="72" fillId="0" borderId="55" applyNumberFormat="0" applyFill="0" applyAlignment="0" applyProtection="0">
      <alignment vertical="center"/>
    </xf>
    <xf numFmtId="0" fontId="71" fillId="0" borderId="54" applyNumberFormat="0" applyFill="0" applyAlignment="0" applyProtection="0">
      <alignment vertical="center"/>
    </xf>
    <xf numFmtId="182" fontId="27" fillId="0" borderId="0" applyFon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43" fontId="27" fillId="0" borderId="0" applyFont="0" applyFill="0" applyBorder="0" applyAlignment="0" applyProtection="0"/>
    <xf numFmtId="0" fontId="71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76" fillId="0" borderId="3" applyNumberFormat="0" applyFill="0" applyProtection="0">
      <alignment horizontal="center"/>
    </xf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1" fillId="18" borderId="0" applyNumberFormat="0" applyBorder="0" applyAlignment="0" applyProtection="0">
      <alignment vertical="center"/>
    </xf>
    <xf numFmtId="0" fontId="61" fillId="18" borderId="0" applyNumberFormat="0" applyBorder="0" applyAlignment="0" applyProtection="0">
      <alignment vertical="center"/>
    </xf>
    <xf numFmtId="0" fontId="61" fillId="18" borderId="0" applyNumberFormat="0" applyBorder="0" applyAlignment="0" applyProtection="0">
      <alignment vertical="center"/>
    </xf>
    <xf numFmtId="0" fontId="61" fillId="18" borderId="0" applyNumberFormat="0" applyBorder="0" applyAlignment="0" applyProtection="0">
      <alignment vertical="center"/>
    </xf>
    <xf numFmtId="0" fontId="61" fillId="18" borderId="0" applyNumberFormat="0" applyBorder="0" applyAlignment="0" applyProtection="0">
      <alignment vertical="center"/>
    </xf>
    <xf numFmtId="0" fontId="61" fillId="18" borderId="0" applyNumberFormat="0" applyBorder="0" applyAlignment="0" applyProtection="0">
      <alignment vertical="center"/>
    </xf>
    <xf numFmtId="0" fontId="61" fillId="18" borderId="0" applyNumberFormat="0" applyBorder="0" applyAlignment="0" applyProtection="0">
      <alignment vertical="center"/>
    </xf>
    <xf numFmtId="0" fontId="61" fillId="18" borderId="0" applyNumberFormat="0" applyBorder="0" applyAlignment="0" applyProtection="0">
      <alignment vertical="center"/>
    </xf>
    <xf numFmtId="0" fontId="27" fillId="0" borderId="0"/>
    <xf numFmtId="0" fontId="61" fillId="18" borderId="0" applyNumberFormat="0" applyBorder="0" applyAlignment="0" applyProtection="0">
      <alignment vertical="center"/>
    </xf>
    <xf numFmtId="0" fontId="61" fillId="18" borderId="0" applyNumberFormat="0" applyBorder="0" applyAlignment="0" applyProtection="0">
      <alignment vertical="center"/>
    </xf>
    <xf numFmtId="0" fontId="41" fillId="57" borderId="0" applyNumberFormat="0" applyBorder="0" applyAlignment="0" applyProtection="0">
      <alignment vertical="center"/>
    </xf>
    <xf numFmtId="0" fontId="74" fillId="18" borderId="0" applyNumberFormat="0" applyBorder="0" applyAlignment="0" applyProtection="0">
      <alignment vertical="center"/>
    </xf>
    <xf numFmtId="0" fontId="74" fillId="18" borderId="0" applyNumberFormat="0" applyBorder="0" applyAlignment="0" applyProtection="0">
      <alignment vertical="center"/>
    </xf>
    <xf numFmtId="0" fontId="74" fillId="18" borderId="0" applyNumberFormat="0" applyBorder="0" applyAlignment="0" applyProtection="0">
      <alignment vertical="center"/>
    </xf>
    <xf numFmtId="0" fontId="61" fillId="18" borderId="0" applyNumberFormat="0" applyBorder="0" applyAlignment="0" applyProtection="0">
      <alignment vertical="center"/>
    </xf>
    <xf numFmtId="0" fontId="27" fillId="0" borderId="0"/>
    <xf numFmtId="0" fontId="61" fillId="18" borderId="0" applyNumberFormat="0" applyBorder="0" applyAlignment="0" applyProtection="0">
      <alignment vertical="center"/>
    </xf>
    <xf numFmtId="0" fontId="12" fillId="0" borderId="0">
      <alignment vertical="center"/>
    </xf>
    <xf numFmtId="0" fontId="61" fillId="18" borderId="0" applyNumberFormat="0" applyBorder="0" applyAlignment="0" applyProtection="0">
      <alignment vertical="center"/>
    </xf>
    <xf numFmtId="0" fontId="27" fillId="20" borderId="51" applyNumberFormat="0" applyFont="0" applyAlignment="0" applyProtection="0">
      <alignment vertical="center"/>
    </xf>
    <xf numFmtId="0" fontId="12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52" fillId="0" borderId="0"/>
    <xf numFmtId="0" fontId="27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7" fillId="0" borderId="0"/>
    <xf numFmtId="0" fontId="96" fillId="0" borderId="0" applyNumberFormat="0" applyFill="0" applyBorder="0" applyAlignment="0" applyProtection="0"/>
    <xf numFmtId="0" fontId="27" fillId="0" borderId="0"/>
    <xf numFmtId="0" fontId="0" fillId="0" borderId="0"/>
    <xf numFmtId="0" fontId="27" fillId="0" borderId="0"/>
    <xf numFmtId="0" fontId="27" fillId="0" borderId="0"/>
    <xf numFmtId="0" fontId="52" fillId="0" borderId="0"/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27" fillId="0" borderId="0"/>
    <xf numFmtId="0" fontId="12" fillId="0" borderId="0">
      <alignment vertical="center"/>
    </xf>
    <xf numFmtId="0" fontId="12" fillId="0" borderId="0">
      <alignment vertical="center"/>
    </xf>
    <xf numFmtId="0" fontId="29" fillId="0" borderId="57" applyNumberFormat="0" applyFill="0" applyAlignment="0" applyProtection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52" fillId="0" borderId="0"/>
    <xf numFmtId="0" fontId="27" fillId="0" borderId="0">
      <alignment vertical="center"/>
    </xf>
    <xf numFmtId="0" fontId="82" fillId="45" borderId="58" applyNumberFormat="0" applyAlignment="0" applyProtection="0">
      <alignment vertical="center"/>
    </xf>
    <xf numFmtId="0" fontId="27" fillId="0" borderId="0"/>
    <xf numFmtId="0" fontId="27" fillId="0" borderId="0"/>
    <xf numFmtId="0" fontId="27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27" fillId="0" borderId="0"/>
    <xf numFmtId="0" fontId="52" fillId="0" borderId="0"/>
    <xf numFmtId="0" fontId="0" fillId="0" borderId="0">
      <alignment vertical="center"/>
    </xf>
    <xf numFmtId="0" fontId="27" fillId="0" borderId="0"/>
    <xf numFmtId="0" fontId="27" fillId="0" borderId="0"/>
    <xf numFmtId="0" fontId="52" fillId="0" borderId="0"/>
    <xf numFmtId="0" fontId="27" fillId="0" borderId="0"/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0" fillId="0" borderId="0">
      <alignment vertical="center"/>
    </xf>
    <xf numFmtId="0" fontId="27" fillId="0" borderId="0"/>
    <xf numFmtId="0" fontId="0" fillId="0" borderId="0">
      <alignment vertical="center"/>
    </xf>
    <xf numFmtId="0" fontId="27" fillId="0" borderId="0"/>
    <xf numFmtId="0" fontId="81" fillId="0" borderId="0"/>
    <xf numFmtId="0" fontId="27" fillId="0" borderId="0">
      <alignment vertical="center"/>
    </xf>
    <xf numFmtId="0" fontId="52" fillId="0" borderId="0"/>
    <xf numFmtId="0" fontId="27" fillId="0" borderId="0"/>
    <xf numFmtId="0" fontId="27" fillId="0" borderId="0">
      <alignment vertical="center"/>
    </xf>
    <xf numFmtId="0" fontId="27" fillId="0" borderId="0"/>
    <xf numFmtId="0" fontId="12" fillId="0" borderId="0">
      <alignment vertical="center"/>
    </xf>
    <xf numFmtId="0" fontId="27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7" fillId="0" borderId="0">
      <alignment vertical="center"/>
    </xf>
    <xf numFmtId="0" fontId="12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7" fillId="0" borderId="0"/>
    <xf numFmtId="0" fontId="0" fillId="0" borderId="0">
      <alignment vertical="center"/>
    </xf>
    <xf numFmtId="0" fontId="27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7" fillId="0" borderId="0"/>
    <xf numFmtId="0" fontId="27" fillId="0" borderId="0"/>
    <xf numFmtId="0" fontId="52" fillId="0" borderId="0"/>
    <xf numFmtId="0" fontId="27" fillId="0" borderId="0"/>
    <xf numFmtId="0" fontId="52" fillId="0" borderId="0"/>
    <xf numFmtId="0" fontId="92" fillId="26" borderId="0" applyNumberFormat="0" applyBorder="0" applyAlignment="0" applyProtection="0">
      <alignment vertical="center"/>
    </xf>
    <xf numFmtId="0" fontId="92" fillId="26" borderId="0" applyNumberFormat="0" applyBorder="0" applyAlignment="0" applyProtection="0">
      <alignment vertical="center"/>
    </xf>
    <xf numFmtId="0" fontId="75" fillId="26" borderId="0" applyNumberFormat="0" applyBorder="0" applyAlignment="0" applyProtection="0"/>
    <xf numFmtId="0" fontId="92" fillId="26" borderId="0" applyNumberFormat="0" applyBorder="0" applyAlignment="0" applyProtection="0">
      <alignment vertical="center"/>
    </xf>
    <xf numFmtId="0" fontId="92" fillId="26" borderId="0" applyNumberFormat="0" applyBorder="0" applyAlignment="0" applyProtection="0">
      <alignment vertical="center"/>
    </xf>
    <xf numFmtId="0" fontId="92" fillId="26" borderId="0" applyNumberFormat="0" applyBorder="0" applyAlignment="0" applyProtection="0">
      <alignment vertical="center"/>
    </xf>
    <xf numFmtId="0" fontId="92" fillId="26" borderId="0" applyNumberFormat="0" applyBorder="0" applyAlignment="0" applyProtection="0">
      <alignment vertical="center"/>
    </xf>
    <xf numFmtId="0" fontId="92" fillId="26" borderId="0" applyNumberFormat="0" applyBorder="0" applyAlignment="0" applyProtection="0">
      <alignment vertical="center"/>
    </xf>
    <xf numFmtId="0" fontId="92" fillId="26" borderId="0" applyNumberFormat="0" applyBorder="0" applyAlignment="0" applyProtection="0">
      <alignment vertical="center"/>
    </xf>
    <xf numFmtId="0" fontId="92" fillId="26" borderId="0" applyNumberFormat="0" applyBorder="0" applyAlignment="0" applyProtection="0">
      <alignment vertical="center"/>
    </xf>
    <xf numFmtId="0" fontId="75" fillId="26" borderId="0" applyNumberFormat="0" applyBorder="0" applyAlignment="0" applyProtection="0">
      <alignment vertical="center"/>
    </xf>
    <xf numFmtId="0" fontId="75" fillId="26" borderId="0" applyNumberFormat="0" applyBorder="0" applyAlignment="0" applyProtection="0">
      <alignment vertical="center"/>
    </xf>
    <xf numFmtId="0" fontId="92" fillId="26" borderId="0" applyNumberFormat="0" applyBorder="0" applyAlignment="0" applyProtection="0">
      <alignment vertical="center"/>
    </xf>
    <xf numFmtId="0" fontId="92" fillId="26" borderId="0" applyNumberFormat="0" applyBorder="0" applyAlignment="0" applyProtection="0">
      <alignment vertical="center"/>
    </xf>
    <xf numFmtId="0" fontId="92" fillId="26" borderId="0" applyNumberFormat="0" applyBorder="0" applyAlignment="0" applyProtection="0">
      <alignment vertical="center"/>
    </xf>
    <xf numFmtId="0" fontId="92" fillId="26" borderId="0" applyNumberFormat="0" applyBorder="0" applyAlignment="0" applyProtection="0">
      <alignment vertical="center"/>
    </xf>
    <xf numFmtId="0" fontId="92" fillId="26" borderId="0" applyNumberFormat="0" applyBorder="0" applyAlignment="0" applyProtection="0">
      <alignment vertical="center"/>
    </xf>
    <xf numFmtId="0" fontId="92" fillId="26" borderId="0" applyNumberFormat="0" applyBorder="0" applyAlignment="0" applyProtection="0">
      <alignment vertical="center"/>
    </xf>
    <xf numFmtId="197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0" fontId="98" fillId="62" borderId="58" applyNumberFormat="0" applyAlignment="0" applyProtection="0">
      <alignment vertical="center"/>
    </xf>
    <xf numFmtId="0" fontId="98" fillId="62" borderId="58" applyNumberFormat="0" applyAlignment="0" applyProtection="0">
      <alignment vertical="center"/>
    </xf>
    <xf numFmtId="0" fontId="99" fillId="58" borderId="62" applyNumberFormat="0" applyAlignment="0" applyProtection="0">
      <alignment vertical="center"/>
    </xf>
    <xf numFmtId="0" fontId="99" fillId="58" borderId="62" applyNumberFormat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83" fillId="0" borderId="33" applyNumberFormat="0" applyFill="0" applyProtection="0">
      <alignment horizontal="left"/>
    </xf>
    <xf numFmtId="0" fontId="101" fillId="0" borderId="0" applyNumberFormat="0" applyFill="0" applyBorder="0" applyAlignment="0" applyProtection="0">
      <alignment vertical="center"/>
    </xf>
    <xf numFmtId="0" fontId="101" fillId="0" borderId="0" applyNumberFormat="0" applyFill="0" applyBorder="0" applyAlignment="0" applyProtection="0">
      <alignment vertical="center"/>
    </xf>
    <xf numFmtId="0" fontId="102" fillId="0" borderId="63" applyNumberFormat="0" applyFill="0" applyAlignment="0" applyProtection="0">
      <alignment vertical="center"/>
    </xf>
    <xf numFmtId="0" fontId="102" fillId="0" borderId="63" applyNumberFormat="0" applyFill="0" applyAlignment="0" applyProtection="0">
      <alignment vertical="center"/>
    </xf>
    <xf numFmtId="0" fontId="103" fillId="0" borderId="0"/>
    <xf numFmtId="199" fontId="27" fillId="0" borderId="0" applyFont="0" applyFill="0" applyBorder="0" applyAlignment="0" applyProtection="0"/>
    <xf numFmtId="200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21" fillId="68" borderId="0" applyNumberFormat="0" applyBorder="0" applyAlignment="0" applyProtection="0"/>
    <xf numFmtId="38" fontId="27" fillId="0" borderId="0" applyFont="0" applyFill="0" applyBorder="0" applyAlignment="0" applyProtection="0"/>
    <xf numFmtId="195" fontId="27" fillId="0" borderId="0" applyFont="0" applyFill="0" applyBorder="0" applyAlignment="0" applyProtection="0"/>
    <xf numFmtId="201" fontId="27" fillId="0" borderId="0" applyFont="0" applyFill="0" applyBorder="0" applyAlignment="0" applyProtection="0"/>
    <xf numFmtId="0" fontId="88" fillId="0" borderId="0"/>
    <xf numFmtId="41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>
      <alignment vertical="center"/>
    </xf>
    <xf numFmtId="43" fontId="27" fillId="0" borderId="0" applyFont="0" applyFill="0" applyBorder="0" applyAlignment="0" applyProtection="0">
      <alignment vertical="center"/>
    </xf>
    <xf numFmtId="182" fontId="27" fillId="0" borderId="0" applyFont="0" applyFill="0" applyBorder="0" applyAlignment="0" applyProtection="0">
      <alignment vertical="center"/>
    </xf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179" fontId="12" fillId="0" borderId="0" applyFont="0" applyFill="0" applyBorder="0" applyAlignment="0" applyProtection="0">
      <alignment vertical="center"/>
    </xf>
    <xf numFmtId="179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179" fontId="12" fillId="0" borderId="0" applyFont="0" applyFill="0" applyBorder="0" applyAlignment="0" applyProtection="0">
      <alignment vertical="center"/>
    </xf>
    <xf numFmtId="179" fontId="12" fillId="0" borderId="0" applyFont="0" applyFill="0" applyBorder="0" applyAlignment="0" applyProtection="0">
      <alignment vertical="center"/>
    </xf>
    <xf numFmtId="0" fontId="104" fillId="0" borderId="0"/>
    <xf numFmtId="0" fontId="21" fillId="69" borderId="0" applyNumberFormat="0" applyBorder="0" applyAlignment="0" applyProtection="0"/>
    <xf numFmtId="0" fontId="21" fillId="70" borderId="0" applyNumberFormat="0" applyBorder="0" applyAlignment="0" applyProtection="0"/>
    <xf numFmtId="0" fontId="41" fillId="47" borderId="0" applyNumberFormat="0" applyBorder="0" applyAlignment="0" applyProtection="0">
      <alignment vertical="center"/>
    </xf>
    <xf numFmtId="0" fontId="41" fillId="47" borderId="0" applyNumberFormat="0" applyBorder="0" applyAlignment="0" applyProtection="0">
      <alignment vertical="center"/>
    </xf>
    <xf numFmtId="0" fontId="41" fillId="55" borderId="0" applyNumberFormat="0" applyBorder="0" applyAlignment="0" applyProtection="0">
      <alignment vertical="center"/>
    </xf>
    <xf numFmtId="0" fontId="41" fillId="55" borderId="0" applyNumberFormat="0" applyBorder="0" applyAlignment="0" applyProtection="0">
      <alignment vertical="center"/>
    </xf>
    <xf numFmtId="0" fontId="41" fillId="57" borderId="0" applyNumberFormat="0" applyBorder="0" applyAlignment="0" applyProtection="0">
      <alignment vertical="center"/>
    </xf>
    <xf numFmtId="0" fontId="41" fillId="51" borderId="0" applyNumberFormat="0" applyBorder="0" applyAlignment="0" applyProtection="0">
      <alignment vertical="center"/>
    </xf>
    <xf numFmtId="0" fontId="41" fillId="51" borderId="0" applyNumberFormat="0" applyBorder="0" applyAlignment="0" applyProtection="0">
      <alignment vertical="center"/>
    </xf>
    <xf numFmtId="0" fontId="41" fillId="52" borderId="0" applyNumberFormat="0" applyBorder="0" applyAlignment="0" applyProtection="0">
      <alignment vertical="center"/>
    </xf>
    <xf numFmtId="0" fontId="41" fillId="52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202" fontId="52" fillId="0" borderId="33" applyFill="0" applyProtection="0">
      <alignment horizontal="right"/>
    </xf>
    <xf numFmtId="0" fontId="52" fillId="0" borderId="3" applyNumberFormat="0" applyFill="0" applyProtection="0">
      <alignment horizontal="left"/>
    </xf>
    <xf numFmtId="0" fontId="70" fillId="28" borderId="0" applyNumberFormat="0" applyBorder="0" applyAlignment="0" applyProtection="0">
      <alignment vertical="center"/>
    </xf>
    <xf numFmtId="0" fontId="105" fillId="62" borderId="64" applyNumberFormat="0" applyAlignment="0" applyProtection="0">
      <alignment vertical="center"/>
    </xf>
    <xf numFmtId="0" fontId="105" fillId="62" borderId="64" applyNumberFormat="0" applyAlignment="0" applyProtection="0">
      <alignment vertical="center"/>
    </xf>
    <xf numFmtId="1" fontId="52" fillId="0" borderId="33" applyFill="0" applyProtection="0">
      <alignment horizontal="center"/>
    </xf>
    <xf numFmtId="0" fontId="106" fillId="0" borderId="0"/>
    <xf numFmtId="0" fontId="52" fillId="0" borderId="0"/>
    <xf numFmtId="0" fontId="52" fillId="0" borderId="65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0" fontId="27" fillId="0" borderId="0" applyFont="0" applyFill="0" applyBorder="0" applyAlignment="0" applyProtection="0"/>
    <xf numFmtId="0" fontId="107" fillId="0" borderId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27" fillId="20" borderId="51" applyNumberFormat="0" applyFont="0" applyAlignment="0" applyProtection="0">
      <alignment vertical="center"/>
    </xf>
    <xf numFmtId="203" fontId="27" fillId="0" borderId="0" applyFont="0" applyFill="0" applyBorder="0" applyAlignment="0" applyProtection="0"/>
    <xf numFmtId="205" fontId="27" fillId="0" borderId="0" applyFont="0" applyFill="0" applyBorder="0" applyAlignment="0" applyProtection="0"/>
    <xf numFmtId="206" fontId="27" fillId="0" borderId="0" applyFont="0" applyFill="0" applyBorder="0" applyAlignment="0" applyProtection="0"/>
    <xf numFmtId="0" fontId="108" fillId="0" borderId="0"/>
  </cellStyleXfs>
  <cellXfs count="273">
    <xf numFmtId="0" fontId="0" fillId="0" borderId="0" xfId="0">
      <alignment vertical="center"/>
    </xf>
    <xf numFmtId="0" fontId="1" fillId="0" borderId="0" xfId="0" applyFont="1" applyFill="1" applyAlignment="1" applyProtection="1">
      <alignment vertical="center"/>
      <protection locked="0"/>
    </xf>
    <xf numFmtId="0" fontId="1" fillId="0" borderId="0" xfId="0" applyFont="1" applyFill="1" applyProtection="1">
      <alignment vertical="center"/>
      <protection locked="0"/>
    </xf>
    <xf numFmtId="0" fontId="1" fillId="0" borderId="0" xfId="0" applyFont="1" applyFill="1" applyProtection="1">
      <alignment vertical="center"/>
      <protection locked="0"/>
    </xf>
    <xf numFmtId="0" fontId="2" fillId="0" borderId="0" xfId="444" applyFont="1" applyFill="1" applyAlignment="1" applyProtection="1">
      <alignment horizontal="center" vertical="center"/>
      <protection locked="0"/>
    </xf>
    <xf numFmtId="0" fontId="3" fillId="0" borderId="0" xfId="454" applyFont="1" applyFill="1" applyBorder="1" applyAlignment="1" applyProtection="1">
      <alignment vertical="center"/>
      <protection locked="0"/>
    </xf>
    <xf numFmtId="0" fontId="4" fillId="0" borderId="0" xfId="454" applyFont="1" applyFill="1" applyBorder="1" applyAlignment="1" applyProtection="1">
      <alignment vertical="center"/>
      <protection locked="0"/>
    </xf>
    <xf numFmtId="0" fontId="4" fillId="0" borderId="0" xfId="454" applyFont="1" applyFill="1" applyAlignment="1" applyProtection="1">
      <alignment vertical="center"/>
      <protection locked="0"/>
    </xf>
    <xf numFmtId="0" fontId="5" fillId="0" borderId="1" xfId="454" applyFont="1" applyFill="1" applyBorder="1" applyAlignment="1" applyProtection="1">
      <alignment horizontal="center" vertical="center"/>
      <protection locked="0"/>
    </xf>
    <xf numFmtId="0" fontId="6" fillId="0" borderId="2" xfId="454" applyFont="1" applyFill="1" applyBorder="1" applyAlignment="1" applyProtection="1">
      <alignment vertical="center"/>
      <protection locked="0"/>
    </xf>
    <xf numFmtId="0" fontId="5" fillId="0" borderId="3" xfId="454" applyFont="1" applyFill="1" applyBorder="1" applyAlignment="1" applyProtection="1">
      <alignment horizontal="center" vertical="center"/>
      <protection locked="0"/>
    </xf>
    <xf numFmtId="0" fontId="6" fillId="0" borderId="3" xfId="454" applyFont="1" applyFill="1" applyBorder="1" applyAlignment="1" applyProtection="1">
      <alignment horizontal="center" vertical="center" wrapText="1"/>
      <protection hidden="1"/>
    </xf>
    <xf numFmtId="0" fontId="6" fillId="0" borderId="1" xfId="454" applyFont="1" applyFill="1" applyBorder="1" applyAlignment="1" applyProtection="1">
      <alignment horizontal="center" vertical="center" wrapText="1"/>
      <protection hidden="1"/>
    </xf>
    <xf numFmtId="0" fontId="6" fillId="0" borderId="4" xfId="454" applyFont="1" applyFill="1" applyBorder="1" applyAlignment="1" applyProtection="1">
      <alignment vertical="center"/>
      <protection locked="0"/>
    </xf>
    <xf numFmtId="0" fontId="6" fillId="0" borderId="1" xfId="454" applyFont="1" applyFill="1" applyBorder="1" applyAlignment="1" applyProtection="1">
      <alignment horizontal="center" vertical="center"/>
      <protection locked="0"/>
    </xf>
    <xf numFmtId="0" fontId="5" fillId="0" borderId="1" xfId="454" applyFont="1" applyFill="1" applyBorder="1" applyAlignment="1" applyProtection="1">
      <alignment horizontal="center" vertical="center" wrapText="1"/>
      <protection hidden="1"/>
    </xf>
    <xf numFmtId="0" fontId="7" fillId="0" borderId="5" xfId="0" applyFont="1" applyFill="1" applyBorder="1" applyAlignment="1" applyProtection="1">
      <alignment vertical="center" wrapText="1"/>
      <protection locked="0"/>
    </xf>
    <xf numFmtId="208" fontId="4" fillId="0" borderId="6" xfId="0" applyNumberFormat="1" applyFont="1" applyFill="1" applyBorder="1" applyProtection="1">
      <alignment vertical="center"/>
      <protection hidden="1"/>
    </xf>
    <xf numFmtId="208" fontId="4" fillId="0" borderId="6" xfId="0" applyNumberFormat="1" applyFont="1" applyFill="1" applyBorder="1" applyProtection="1">
      <alignment vertical="center"/>
      <protection locked="0"/>
    </xf>
    <xf numFmtId="208" fontId="4" fillId="0" borderId="7" xfId="0" applyNumberFormat="1" applyFont="1" applyFill="1" applyBorder="1" applyProtection="1">
      <alignment vertical="center"/>
      <protection locked="0"/>
    </xf>
    <xf numFmtId="0" fontId="8" fillId="0" borderId="8" xfId="0" applyFont="1" applyFill="1" applyBorder="1" applyAlignment="1" applyProtection="1">
      <alignment horizontal="left" vertical="center" wrapText="1"/>
      <protection locked="0"/>
    </xf>
    <xf numFmtId="208" fontId="4" fillId="0" borderId="9" xfId="0" applyNumberFormat="1" applyFont="1" applyFill="1" applyBorder="1" applyProtection="1">
      <alignment vertical="center"/>
      <protection hidden="1"/>
    </xf>
    <xf numFmtId="208" fontId="4" fillId="0" borderId="9" xfId="0" applyNumberFormat="1" applyFont="1" applyFill="1" applyBorder="1" applyProtection="1">
      <alignment vertical="center"/>
      <protection locked="0"/>
    </xf>
    <xf numFmtId="208" fontId="4" fillId="0" borderId="10" xfId="0" applyNumberFormat="1" applyFont="1" applyFill="1" applyBorder="1" applyProtection="1">
      <alignment vertical="center"/>
      <protection locked="0"/>
    </xf>
    <xf numFmtId="0" fontId="4" fillId="0" borderId="8" xfId="444" applyNumberFormat="1" applyFont="1" applyFill="1" applyBorder="1" applyAlignment="1" applyProtection="1">
      <alignment horizontal="left" vertical="center" wrapText="1"/>
      <protection locked="0"/>
    </xf>
    <xf numFmtId="0" fontId="4" fillId="0" borderId="5" xfId="444" applyNumberFormat="1" applyFont="1" applyFill="1" applyBorder="1" applyAlignment="1" applyProtection="1">
      <alignment horizontal="left" vertical="center" wrapText="1"/>
      <protection locked="0"/>
    </xf>
    <xf numFmtId="0" fontId="7" fillId="0" borderId="11" xfId="0" applyFont="1" applyFill="1" applyBorder="1" applyAlignment="1" applyProtection="1">
      <alignment horizontal="left" vertical="center" wrapText="1"/>
      <protection locked="0"/>
    </xf>
    <xf numFmtId="208" fontId="4" fillId="0" borderId="12" xfId="0" applyNumberFormat="1" applyFont="1" applyFill="1" applyBorder="1" applyProtection="1">
      <alignment vertical="center"/>
      <protection locked="0"/>
    </xf>
    <xf numFmtId="208" fontId="4" fillId="0" borderId="13" xfId="0" applyNumberFormat="1" applyFont="1" applyFill="1" applyBorder="1" applyProtection="1">
      <alignment vertical="center"/>
      <protection locked="0"/>
    </xf>
    <xf numFmtId="0" fontId="6" fillId="0" borderId="3" xfId="454" applyFont="1" applyFill="1" applyBorder="1" applyAlignment="1" applyProtection="1">
      <alignment vertical="center"/>
      <protection locked="0"/>
    </xf>
    <xf numFmtId="0" fontId="4" fillId="0" borderId="0" xfId="444" applyFont="1" applyFill="1" applyAlignment="1" applyProtection="1">
      <alignment vertical="center"/>
      <protection locked="0"/>
    </xf>
    <xf numFmtId="0" fontId="3" fillId="0" borderId="0" xfId="444" applyFont="1" applyFill="1" applyAlignment="1" applyProtection="1">
      <alignment horizontal="right" vertical="center"/>
      <protection locked="0"/>
    </xf>
    <xf numFmtId="0" fontId="5" fillId="0" borderId="1" xfId="454" applyFont="1" applyFill="1" applyBorder="1" applyAlignment="1" applyProtection="1">
      <alignment horizontal="center" vertical="center" wrapText="1"/>
      <protection locked="0"/>
    </xf>
    <xf numFmtId="0" fontId="6" fillId="0" borderId="1" xfId="454" applyFont="1" applyFill="1" applyBorder="1" applyAlignment="1" applyProtection="1">
      <alignment horizontal="center" vertical="center" wrapText="1"/>
      <protection locked="0"/>
    </xf>
    <xf numFmtId="0" fontId="6" fillId="0" borderId="2" xfId="454" applyFont="1" applyFill="1" applyBorder="1" applyAlignment="1" applyProtection="1">
      <alignment horizontal="center" vertical="center" wrapText="1"/>
      <protection locked="0"/>
    </xf>
    <xf numFmtId="0" fontId="6" fillId="0" borderId="3" xfId="454" applyFont="1" applyFill="1" applyBorder="1" applyAlignment="1" applyProtection="1">
      <alignment horizontal="center" vertical="center" wrapText="1"/>
      <protection locked="0"/>
    </xf>
    <xf numFmtId="0" fontId="7" fillId="0" borderId="14" xfId="0" applyFont="1" applyFill="1" applyBorder="1" applyAlignment="1" applyProtection="1">
      <alignment vertical="center" wrapText="1"/>
      <protection locked="0"/>
    </xf>
    <xf numFmtId="178" fontId="4" fillId="0" borderId="15" xfId="444" applyNumberFormat="1" applyFont="1" applyFill="1" applyBorder="1" applyProtection="1">
      <alignment vertical="center"/>
      <protection locked="0"/>
    </xf>
    <xf numFmtId="178" fontId="4" fillId="0" borderId="16" xfId="444" applyNumberFormat="1" applyFont="1" applyFill="1" applyBorder="1" applyProtection="1">
      <alignment vertical="center"/>
      <protection locked="0"/>
    </xf>
    <xf numFmtId="0" fontId="4" fillId="0" borderId="17" xfId="444" applyFont="1" applyFill="1" applyBorder="1" applyAlignment="1" applyProtection="1">
      <alignment horizontal="right" vertical="center" wrapText="1"/>
      <protection locked="0"/>
    </xf>
    <xf numFmtId="0" fontId="9" fillId="0" borderId="8" xfId="444" applyNumberFormat="1" applyFont="1" applyFill="1" applyBorder="1" applyAlignment="1" applyProtection="1">
      <alignment horizontal="left" vertical="center" wrapText="1"/>
      <protection locked="0"/>
    </xf>
    <xf numFmtId="178" fontId="4" fillId="0" borderId="9" xfId="444" applyNumberFormat="1" applyFont="1" applyFill="1" applyBorder="1" applyProtection="1">
      <alignment vertical="center"/>
      <protection locked="0"/>
    </xf>
    <xf numFmtId="178" fontId="4" fillId="0" borderId="10" xfId="444" applyNumberFormat="1" applyFont="1" applyFill="1" applyBorder="1" applyProtection="1">
      <alignment vertical="center"/>
      <protection locked="0"/>
    </xf>
    <xf numFmtId="0" fontId="4" fillId="0" borderId="17" xfId="444" applyFont="1" applyFill="1" applyBorder="1" applyAlignment="1" applyProtection="1">
      <alignment vertical="top" wrapText="1"/>
      <protection locked="0"/>
    </xf>
    <xf numFmtId="0" fontId="7" fillId="0" borderId="8" xfId="0" applyFont="1" applyFill="1" applyBorder="1" applyAlignment="1" applyProtection="1">
      <alignment vertical="center" wrapText="1"/>
      <protection locked="0"/>
    </xf>
    <xf numFmtId="0" fontId="3" fillId="0" borderId="8" xfId="0" applyFont="1" applyFill="1" applyBorder="1" applyAlignment="1" applyProtection="1">
      <alignment vertical="center" wrapText="1"/>
      <protection locked="0"/>
    </xf>
    <xf numFmtId="0" fontId="4" fillId="0" borderId="9" xfId="444" applyNumberFormat="1" applyFont="1" applyFill="1" applyBorder="1" applyAlignment="1" applyProtection="1">
      <alignment horizontal="left" vertical="center" wrapText="1"/>
      <protection locked="0"/>
    </xf>
    <xf numFmtId="0" fontId="3" fillId="0" borderId="17" xfId="444" applyFont="1" applyFill="1" applyBorder="1" applyAlignment="1" applyProtection="1">
      <alignment vertical="top" wrapText="1"/>
      <protection locked="0"/>
    </xf>
    <xf numFmtId="0" fontId="3" fillId="0" borderId="17" xfId="444" applyFont="1" applyFill="1" applyBorder="1" applyAlignment="1" applyProtection="1">
      <alignment vertical="center" wrapText="1"/>
      <protection locked="0"/>
    </xf>
    <xf numFmtId="0" fontId="4" fillId="0" borderId="11" xfId="444" applyNumberFormat="1" applyFont="1" applyFill="1" applyBorder="1" applyAlignment="1" applyProtection="1">
      <alignment horizontal="left" vertical="center" wrapText="1"/>
      <protection locked="0"/>
    </xf>
    <xf numFmtId="0" fontId="4" fillId="0" borderId="12" xfId="444" applyNumberFormat="1" applyFont="1" applyFill="1" applyBorder="1" applyAlignment="1" applyProtection="1">
      <alignment horizontal="left" vertical="center" wrapText="1"/>
      <protection locked="0"/>
    </xf>
    <xf numFmtId="208" fontId="4" fillId="0" borderId="12" xfId="444" applyNumberFormat="1" applyFont="1" applyFill="1" applyBorder="1" applyProtection="1">
      <alignment vertical="center"/>
      <protection locked="0"/>
    </xf>
    <xf numFmtId="208" fontId="4" fillId="0" borderId="13" xfId="444" applyNumberFormat="1" applyFont="1" applyFill="1" applyBorder="1" applyProtection="1">
      <alignment vertical="center"/>
      <protection locked="0"/>
    </xf>
    <xf numFmtId="0" fontId="4" fillId="0" borderId="18" xfId="444" applyFont="1" applyFill="1" applyBorder="1" applyAlignment="1" applyProtection="1">
      <alignment vertical="top" wrapText="1"/>
      <protection locked="0"/>
    </xf>
    <xf numFmtId="0" fontId="10" fillId="0" borderId="0" xfId="262" applyFont="1" applyFill="1" applyAlignment="1" applyProtection="1">
      <alignment vertical="center"/>
      <protection locked="0"/>
    </xf>
    <xf numFmtId="0" fontId="10" fillId="0" borderId="0" xfId="262" applyFont="1" applyFill="1" applyProtection="1">
      <alignment vertical="center"/>
      <protection locked="0"/>
    </xf>
    <xf numFmtId="0" fontId="11" fillId="0" borderId="0" xfId="262" applyFont="1" applyFill="1" applyAlignment="1" applyProtection="1">
      <alignment horizontal="center" vertical="center"/>
      <protection locked="0"/>
    </xf>
    <xf numFmtId="0" fontId="12" fillId="0" borderId="0" xfId="246" applyFont="1" applyFill="1" applyBorder="1" applyAlignment="1" applyProtection="1">
      <alignment vertical="center"/>
      <protection locked="0"/>
    </xf>
    <xf numFmtId="0" fontId="4" fillId="0" borderId="0" xfId="246" applyFont="1" applyFill="1" applyAlignment="1" applyProtection="1">
      <alignment vertical="center"/>
      <protection locked="0"/>
    </xf>
    <xf numFmtId="208" fontId="4" fillId="0" borderId="0" xfId="246" applyNumberFormat="1" applyFont="1" applyFill="1" applyAlignment="1" applyProtection="1">
      <alignment vertical="center"/>
      <protection locked="0"/>
    </xf>
    <xf numFmtId="208" fontId="10" fillId="0" borderId="0" xfId="262" applyNumberFormat="1" applyFont="1" applyFill="1" applyAlignment="1" applyProtection="1">
      <alignment vertical="center"/>
      <protection locked="0"/>
    </xf>
    <xf numFmtId="0" fontId="4" fillId="0" borderId="1" xfId="246" applyFont="1" applyFill="1" applyBorder="1" applyAlignment="1" applyProtection="1">
      <alignment horizontal="center" vertical="center"/>
      <protection locked="0"/>
    </xf>
    <xf numFmtId="0" fontId="4" fillId="0" borderId="19" xfId="246" applyFont="1" applyFill="1" applyBorder="1" applyAlignment="1" applyProtection="1">
      <alignment vertical="center"/>
      <protection locked="0"/>
    </xf>
    <xf numFmtId="0" fontId="4" fillId="0" borderId="14" xfId="246" applyFont="1" applyFill="1" applyBorder="1" applyAlignment="1" applyProtection="1">
      <alignment horizontal="center" vertical="center" wrapText="1"/>
      <protection locked="0"/>
    </xf>
    <xf numFmtId="0" fontId="4" fillId="0" borderId="1" xfId="352" applyFont="1" applyFill="1" applyBorder="1" applyAlignment="1" applyProtection="1">
      <alignment horizontal="center" vertical="center" wrapText="1"/>
      <protection locked="0"/>
    </xf>
    <xf numFmtId="0" fontId="4" fillId="0" borderId="2" xfId="352" applyFont="1" applyFill="1" applyBorder="1" applyAlignment="1" applyProtection="1">
      <alignment horizontal="center" vertical="center" wrapText="1"/>
      <protection locked="0"/>
    </xf>
    <xf numFmtId="0" fontId="4" fillId="0" borderId="20" xfId="246" applyFont="1" applyFill="1" applyBorder="1" applyAlignment="1" applyProtection="1">
      <alignment vertical="center"/>
      <protection locked="0"/>
    </xf>
    <xf numFmtId="0" fontId="4" fillId="0" borderId="8" xfId="246" applyFont="1" applyFill="1" applyBorder="1" applyAlignment="1" applyProtection="1">
      <alignment horizontal="center" vertical="center" wrapText="1"/>
      <protection locked="0"/>
    </xf>
    <xf numFmtId="0" fontId="4" fillId="0" borderId="3" xfId="352" applyFont="1" applyFill="1" applyBorder="1" applyAlignment="1" applyProtection="1">
      <alignment horizontal="center" vertical="center" wrapText="1"/>
      <protection locked="0"/>
    </xf>
    <xf numFmtId="0" fontId="10" fillId="0" borderId="14" xfId="262" applyFont="1" applyFill="1" applyBorder="1" applyAlignment="1" applyProtection="1">
      <alignment vertical="center" wrapText="1"/>
      <protection locked="0"/>
    </xf>
    <xf numFmtId="208" fontId="10" fillId="0" borderId="15" xfId="262" applyNumberFormat="1" applyFont="1" applyFill="1" applyBorder="1" applyProtection="1">
      <alignment vertical="center"/>
      <protection hidden="1"/>
    </xf>
    <xf numFmtId="208" fontId="10" fillId="0" borderId="21" xfId="262" applyNumberFormat="1" applyFont="1" applyFill="1" applyBorder="1" applyProtection="1">
      <alignment vertical="center"/>
      <protection hidden="1"/>
    </xf>
    <xf numFmtId="0" fontId="10" fillId="0" borderId="8" xfId="262" applyFont="1" applyFill="1" applyBorder="1" applyAlignment="1" applyProtection="1">
      <alignment horizontal="center" vertical="center" wrapText="1"/>
      <protection locked="0"/>
    </xf>
    <xf numFmtId="0" fontId="10" fillId="0" borderId="8" xfId="262" applyFont="1" applyFill="1" applyBorder="1" applyAlignment="1" applyProtection="1">
      <alignment horizontal="left" vertical="center" wrapText="1"/>
      <protection locked="0"/>
    </xf>
    <xf numFmtId="208" fontId="10" fillId="0" borderId="9" xfId="262" applyNumberFormat="1" applyFont="1" applyFill="1" applyBorder="1" applyProtection="1">
      <alignment vertical="center"/>
      <protection hidden="1"/>
    </xf>
    <xf numFmtId="208" fontId="10" fillId="0" borderId="17" xfId="262" applyNumberFormat="1" applyFont="1" applyFill="1" applyBorder="1" applyProtection="1">
      <alignment vertical="center"/>
      <protection hidden="1"/>
    </xf>
    <xf numFmtId="0" fontId="10" fillId="0" borderId="8" xfId="262" applyFont="1" applyFill="1" applyBorder="1" applyAlignment="1" applyProtection="1">
      <alignment vertical="center" wrapText="1"/>
      <protection locked="0"/>
    </xf>
    <xf numFmtId="0" fontId="13" fillId="0" borderId="8" xfId="262" applyFont="1" applyFill="1" applyBorder="1" applyAlignment="1" applyProtection="1">
      <alignment horizontal="left" vertical="center" wrapText="1"/>
      <protection locked="0"/>
    </xf>
    <xf numFmtId="208" fontId="10" fillId="0" borderId="9" xfId="262" applyNumberFormat="1" applyFont="1" applyFill="1" applyBorder="1" applyProtection="1">
      <alignment vertical="center"/>
      <protection locked="0"/>
    </xf>
    <xf numFmtId="208" fontId="10" fillId="0" borderId="17" xfId="262" applyNumberFormat="1" applyFont="1" applyFill="1" applyBorder="1" applyProtection="1">
      <alignment vertical="center"/>
      <protection locked="0"/>
    </xf>
    <xf numFmtId="208" fontId="10" fillId="0" borderId="10" xfId="262" applyNumberFormat="1" applyFont="1" applyFill="1" applyBorder="1" applyProtection="1">
      <alignment vertical="center"/>
      <protection locked="0"/>
    </xf>
    <xf numFmtId="0" fontId="14" fillId="0" borderId="8" xfId="262" applyFont="1" applyFill="1" applyBorder="1" applyAlignment="1" applyProtection="1">
      <alignment vertical="center" wrapText="1"/>
      <protection locked="0"/>
    </xf>
    <xf numFmtId="208" fontId="4" fillId="0" borderId="9" xfId="262" applyNumberFormat="1" applyFont="1" applyFill="1" applyBorder="1" applyProtection="1">
      <alignment vertical="center"/>
      <protection locked="0"/>
    </xf>
    <xf numFmtId="208" fontId="4" fillId="0" borderId="10" xfId="262" applyNumberFormat="1" applyFont="1" applyFill="1" applyBorder="1" applyProtection="1">
      <alignment vertical="center"/>
      <protection locked="0"/>
    </xf>
    <xf numFmtId="208" fontId="4" fillId="0" borderId="17" xfId="262" applyNumberFormat="1" applyFont="1" applyFill="1" applyBorder="1" applyProtection="1">
      <alignment vertical="center"/>
      <protection locked="0"/>
    </xf>
    <xf numFmtId="0" fontId="4" fillId="0" borderId="8" xfId="262" applyFont="1" applyFill="1" applyBorder="1" applyAlignment="1" applyProtection="1">
      <alignment horizontal="left" vertical="center" wrapText="1"/>
      <protection locked="0"/>
    </xf>
    <xf numFmtId="0" fontId="15" fillId="0" borderId="8" xfId="262" applyFont="1" applyFill="1" applyBorder="1" applyAlignment="1" applyProtection="1">
      <alignment vertical="center" wrapText="1"/>
      <protection locked="0"/>
    </xf>
    <xf numFmtId="208" fontId="16" fillId="0" borderId="9" xfId="262" applyNumberFormat="1" applyFont="1" applyFill="1" applyBorder="1" applyProtection="1">
      <alignment vertical="center"/>
      <protection locked="0"/>
    </xf>
    <xf numFmtId="208" fontId="16" fillId="0" borderId="9" xfId="262" applyNumberFormat="1" applyFont="1" applyFill="1" applyBorder="1" applyProtection="1">
      <alignment vertical="center"/>
      <protection hidden="1"/>
    </xf>
    <xf numFmtId="208" fontId="16" fillId="0" borderId="17" xfId="262" applyNumberFormat="1" applyFont="1" applyFill="1" applyBorder="1" applyProtection="1">
      <alignment vertical="center"/>
      <protection hidden="1"/>
    </xf>
    <xf numFmtId="0" fontId="4" fillId="0" borderId="4" xfId="246" applyFont="1" applyFill="1" applyBorder="1" applyAlignment="1" applyProtection="1">
      <alignment vertical="center"/>
      <protection locked="0"/>
    </xf>
    <xf numFmtId="208" fontId="10" fillId="0" borderId="10" xfId="262" applyNumberFormat="1" applyFont="1" applyFill="1" applyBorder="1" applyProtection="1">
      <alignment vertical="center"/>
      <protection hidden="1"/>
    </xf>
    <xf numFmtId="0" fontId="12" fillId="0" borderId="11" xfId="262" applyFont="1" applyFill="1" applyBorder="1" applyAlignment="1" applyProtection="1">
      <alignment vertical="center" wrapText="1"/>
      <protection locked="0"/>
    </xf>
    <xf numFmtId="0" fontId="10" fillId="0" borderId="22" xfId="262" applyFont="1" applyFill="1" applyBorder="1" applyProtection="1">
      <alignment vertical="center"/>
      <protection locked="0"/>
    </xf>
    <xf numFmtId="208" fontId="10" fillId="0" borderId="0" xfId="262" applyNumberFormat="1" applyFont="1" applyFill="1" applyProtection="1">
      <alignment vertical="center"/>
      <protection locked="0"/>
    </xf>
    <xf numFmtId="0" fontId="12" fillId="0" borderId="0" xfId="262" applyFont="1" applyFill="1" applyAlignment="1" applyProtection="1">
      <alignment vertical="center"/>
      <protection locked="0"/>
    </xf>
    <xf numFmtId="0" fontId="4" fillId="0" borderId="15" xfId="246" applyFont="1" applyFill="1" applyBorder="1" applyAlignment="1" applyProtection="1">
      <alignment horizontal="center" vertical="center" wrapText="1"/>
      <protection locked="0"/>
    </xf>
    <xf numFmtId="0" fontId="4" fillId="0" borderId="21" xfId="246" applyFont="1" applyFill="1" applyBorder="1" applyAlignment="1" applyProtection="1">
      <alignment horizontal="center" vertical="center" wrapText="1"/>
      <protection locked="0"/>
    </xf>
    <xf numFmtId="0" fontId="4" fillId="0" borderId="9" xfId="246" applyFont="1" applyFill="1" applyBorder="1" applyAlignment="1" applyProtection="1">
      <alignment horizontal="center" vertical="center" wrapText="1"/>
      <protection locked="0"/>
    </xf>
    <xf numFmtId="0" fontId="4" fillId="0" borderId="9" xfId="352" applyFont="1" applyFill="1" applyBorder="1" applyAlignment="1" applyProtection="1">
      <alignment horizontal="center" vertical="center" wrapText="1"/>
      <protection locked="0"/>
    </xf>
    <xf numFmtId="0" fontId="4" fillId="0" borderId="17" xfId="246" applyFont="1" applyFill="1" applyBorder="1" applyAlignment="1" applyProtection="1">
      <alignment horizontal="center" vertical="center" wrapText="1"/>
      <protection locked="0"/>
    </xf>
    <xf numFmtId="0" fontId="3" fillId="0" borderId="9" xfId="246" applyFont="1" applyFill="1" applyBorder="1" applyAlignment="1" applyProtection="1">
      <alignment horizontal="center" vertical="center" wrapText="1"/>
      <protection locked="0"/>
    </xf>
    <xf numFmtId="0" fontId="3" fillId="0" borderId="17" xfId="246" applyFont="1" applyFill="1" applyBorder="1" applyAlignment="1" applyProtection="1">
      <alignment horizontal="center" vertical="center" wrapText="1"/>
      <protection locked="0"/>
    </xf>
    <xf numFmtId="208" fontId="16" fillId="0" borderId="17" xfId="262" applyNumberFormat="1" applyFont="1" applyFill="1" applyBorder="1" applyProtection="1">
      <alignment vertical="center"/>
      <protection locked="0"/>
    </xf>
    <xf numFmtId="208" fontId="10" fillId="0" borderId="12" xfId="262" applyNumberFormat="1" applyFont="1" applyFill="1" applyBorder="1" applyProtection="1">
      <alignment vertical="center"/>
      <protection locked="0"/>
    </xf>
    <xf numFmtId="208" fontId="10" fillId="0" borderId="18" xfId="262" applyNumberFormat="1" applyFont="1" applyFill="1" applyBorder="1" applyProtection="1">
      <alignment vertical="center"/>
      <protection locked="0"/>
    </xf>
    <xf numFmtId="0" fontId="17" fillId="0" borderId="23" xfId="262" applyFont="1" applyFill="1" applyBorder="1" applyAlignment="1" applyProtection="1">
      <alignment horizontal="center" vertical="center"/>
      <protection locked="0"/>
    </xf>
    <xf numFmtId="0" fontId="10" fillId="0" borderId="23" xfId="262" applyFont="1" applyFill="1" applyBorder="1" applyAlignment="1" applyProtection="1">
      <alignment horizontal="center" vertical="center"/>
      <protection locked="0"/>
    </xf>
    <xf numFmtId="0" fontId="10" fillId="0" borderId="24" xfId="262" applyFont="1" applyFill="1" applyBorder="1" applyProtection="1">
      <alignment vertical="center"/>
      <protection locked="0"/>
    </xf>
    <xf numFmtId="0" fontId="12" fillId="0" borderId="25" xfId="262" applyFont="1" applyFill="1" applyBorder="1" applyProtection="1">
      <alignment vertical="center"/>
      <protection locked="0"/>
    </xf>
    <xf numFmtId="0" fontId="12" fillId="0" borderId="25" xfId="262" applyFont="1" applyFill="1" applyBorder="1" applyAlignment="1" applyProtection="1">
      <alignment vertical="center" wrapText="1"/>
      <protection locked="0"/>
    </xf>
    <xf numFmtId="0" fontId="10" fillId="0" borderId="25" xfId="262" applyFont="1" applyFill="1" applyBorder="1" applyProtection="1">
      <alignment vertical="center"/>
      <protection locked="0"/>
    </xf>
    <xf numFmtId="0" fontId="17" fillId="0" borderId="25" xfId="262" applyFont="1" applyFill="1" applyBorder="1" applyProtection="1">
      <alignment vertical="center"/>
      <protection locked="0"/>
    </xf>
    <xf numFmtId="0" fontId="17" fillId="0" borderId="0" xfId="262" applyFont="1" applyFill="1" applyProtection="1">
      <alignment vertical="center"/>
      <protection locked="0"/>
    </xf>
    <xf numFmtId="0" fontId="12" fillId="0" borderId="25" xfId="262" applyFont="1" applyFill="1" applyBorder="1" applyAlignment="1" applyProtection="1">
      <alignment horizontal="left" vertical="center" wrapText="1"/>
      <protection locked="0"/>
    </xf>
    <xf numFmtId="0" fontId="0" fillId="0" borderId="0" xfId="262" applyFont="1" applyFill="1" applyProtection="1">
      <alignment vertical="center"/>
      <protection locked="0"/>
    </xf>
    <xf numFmtId="0" fontId="0" fillId="0" borderId="0" xfId="262" applyFill="1" applyProtection="1">
      <alignment vertical="center"/>
      <protection locked="0"/>
    </xf>
    <xf numFmtId="198" fontId="0" fillId="0" borderId="0" xfId="262" applyNumberFormat="1" applyFill="1" applyProtection="1">
      <alignment vertical="center"/>
      <protection locked="0"/>
    </xf>
    <xf numFmtId="209" fontId="18" fillId="0" borderId="0" xfId="262" applyNumberFormat="1" applyFont="1" applyFill="1" applyProtection="1">
      <alignment vertical="center"/>
      <protection locked="0"/>
    </xf>
    <xf numFmtId="209" fontId="19" fillId="0" borderId="0" xfId="262" applyNumberFormat="1" applyFont="1" applyFill="1" applyProtection="1">
      <alignment vertical="center"/>
      <protection locked="0"/>
    </xf>
    <xf numFmtId="0" fontId="20" fillId="0" borderId="1" xfId="262" applyFont="1" applyFill="1" applyBorder="1" applyAlignment="1" applyProtection="1">
      <alignment horizontal="center" vertical="center"/>
      <protection locked="0"/>
    </xf>
    <xf numFmtId="0" fontId="20" fillId="0" borderId="2" xfId="262" applyFont="1" applyFill="1" applyBorder="1" applyAlignment="1" applyProtection="1">
      <alignment horizontal="center" vertical="center" wrapText="1"/>
      <protection locked="0"/>
    </xf>
    <xf numFmtId="0" fontId="3" fillId="0" borderId="1" xfId="207" applyFont="1" applyFill="1" applyBorder="1" applyAlignment="1" applyProtection="1">
      <alignment horizontal="center" vertical="center" wrapText="1"/>
      <protection locked="0"/>
    </xf>
    <xf numFmtId="0" fontId="20" fillId="0" borderId="1" xfId="262" applyFont="1" applyFill="1" applyBorder="1" applyAlignment="1" applyProtection="1">
      <alignment horizontal="center" vertical="center" wrapText="1"/>
      <protection locked="0"/>
    </xf>
    <xf numFmtId="0" fontId="20" fillId="0" borderId="4" xfId="262" applyFont="1" applyFill="1" applyBorder="1" applyAlignment="1" applyProtection="1">
      <alignment horizontal="center" vertical="center" wrapText="1"/>
      <protection locked="0"/>
    </xf>
    <xf numFmtId="0" fontId="3" fillId="0" borderId="2" xfId="207" applyFont="1" applyFill="1" applyBorder="1" applyAlignment="1" applyProtection="1">
      <alignment horizontal="center" vertical="center" wrapText="1"/>
      <protection locked="0"/>
    </xf>
    <xf numFmtId="0" fontId="15" fillId="0" borderId="26" xfId="262" applyFont="1" applyFill="1" applyBorder="1" applyAlignment="1" applyProtection="1">
      <alignment horizontal="left" vertical="center"/>
      <protection locked="0"/>
    </xf>
    <xf numFmtId="208" fontId="21" fillId="0" borderId="26" xfId="0" applyNumberFormat="1" applyFont="1" applyFill="1" applyBorder="1" applyAlignment="1" applyProtection="1">
      <alignment horizontal="right" vertical="center"/>
      <protection locked="0"/>
    </xf>
    <xf numFmtId="178" fontId="21" fillId="0" borderId="26" xfId="0" applyNumberFormat="1" applyFont="1" applyFill="1" applyBorder="1" applyAlignment="1" applyProtection="1">
      <alignment horizontal="right" vertical="center"/>
      <protection locked="0"/>
    </xf>
    <xf numFmtId="204" fontId="21" fillId="0" borderId="26" xfId="0" applyNumberFormat="1" applyFont="1" applyFill="1" applyBorder="1" applyAlignment="1" applyProtection="1">
      <alignment horizontal="right" vertical="center"/>
      <protection locked="0"/>
    </xf>
    <xf numFmtId="0" fontId="15" fillId="0" borderId="27" xfId="262" applyFont="1" applyFill="1" applyBorder="1" applyAlignment="1" applyProtection="1">
      <alignment horizontal="left" vertical="center" wrapText="1"/>
      <protection locked="0"/>
    </xf>
    <xf numFmtId="208" fontId="20" fillId="0" borderId="27" xfId="0" applyNumberFormat="1" applyFont="1" applyFill="1" applyBorder="1" applyAlignment="1" applyProtection="1">
      <alignment horizontal="right" vertical="center"/>
      <protection locked="0"/>
    </xf>
    <xf numFmtId="204" fontId="20" fillId="0" borderId="27" xfId="0" applyNumberFormat="1" applyFont="1" applyFill="1" applyBorder="1" applyAlignment="1" applyProtection="1">
      <alignment horizontal="right" vertical="center"/>
      <protection locked="0"/>
    </xf>
    <xf numFmtId="0" fontId="14" fillId="0" borderId="27" xfId="262" applyFont="1" applyFill="1" applyBorder="1" applyAlignment="1" applyProtection="1">
      <alignment vertical="center" wrapText="1"/>
      <protection locked="0"/>
    </xf>
    <xf numFmtId="0" fontId="12" fillId="0" borderId="27" xfId="262" applyFont="1" applyFill="1" applyBorder="1" applyAlignment="1" applyProtection="1">
      <alignment vertical="center" wrapText="1"/>
      <protection locked="0"/>
    </xf>
    <xf numFmtId="0" fontId="0" fillId="0" borderId="27" xfId="262" applyFont="1" applyFill="1" applyBorder="1" applyAlignment="1" applyProtection="1">
      <alignment vertical="center" wrapText="1"/>
      <protection locked="0"/>
    </xf>
    <xf numFmtId="0" fontId="0" fillId="0" borderId="27" xfId="262" applyFont="1" applyFill="1" applyBorder="1" applyAlignment="1" applyProtection="1">
      <alignment horizontal="left" vertical="center" wrapText="1"/>
      <protection locked="0"/>
    </xf>
    <xf numFmtId="0" fontId="14" fillId="0" borderId="27" xfId="262" applyFont="1" applyFill="1" applyBorder="1" applyAlignment="1" applyProtection="1">
      <alignment horizontal="left" vertical="center" wrapText="1"/>
      <protection locked="0"/>
    </xf>
    <xf numFmtId="0" fontId="0" fillId="0" borderId="27" xfId="262" applyFill="1" applyBorder="1" applyAlignment="1" applyProtection="1">
      <alignment vertical="center" wrapText="1"/>
      <protection locked="0"/>
    </xf>
    <xf numFmtId="0" fontId="0" fillId="0" borderId="27" xfId="262" applyFill="1" applyBorder="1" applyAlignment="1" applyProtection="1">
      <alignment horizontal="left" vertical="center" wrapText="1"/>
      <protection locked="0"/>
    </xf>
    <xf numFmtId="0" fontId="15" fillId="0" borderId="27" xfId="262" applyFont="1" applyFill="1" applyBorder="1" applyAlignment="1" applyProtection="1">
      <alignment vertical="center" wrapText="1"/>
      <protection locked="0"/>
    </xf>
    <xf numFmtId="0" fontId="22" fillId="0" borderId="27" xfId="262" applyFont="1" applyFill="1" applyBorder="1" applyAlignment="1" applyProtection="1">
      <alignment vertical="center" wrapText="1"/>
      <protection locked="0"/>
    </xf>
    <xf numFmtId="0" fontId="20" fillId="0" borderId="28" xfId="262" applyFont="1" applyFill="1" applyBorder="1" applyAlignment="1" applyProtection="1">
      <alignment horizontal="center" vertical="center" wrapText="1"/>
      <protection locked="0"/>
    </xf>
    <xf numFmtId="178" fontId="21" fillId="0" borderId="14" xfId="0" applyNumberFormat="1" applyFont="1" applyFill="1" applyBorder="1" applyAlignment="1" applyProtection="1">
      <alignment horizontal="right" vertical="center"/>
      <protection locked="0"/>
    </xf>
    <xf numFmtId="178" fontId="21" fillId="0" borderId="15" xfId="0" applyNumberFormat="1" applyFont="1" applyFill="1" applyBorder="1" applyAlignment="1" applyProtection="1">
      <alignment horizontal="right" vertical="center"/>
      <protection locked="0"/>
    </xf>
    <xf numFmtId="208" fontId="20" fillId="0" borderId="21" xfId="0" applyNumberFormat="1" applyFont="1" applyFill="1" applyBorder="1" applyAlignment="1" applyProtection="1">
      <alignment horizontal="right" vertical="center"/>
      <protection locked="0"/>
    </xf>
    <xf numFmtId="208" fontId="20" fillId="0" borderId="8" xfId="0" applyNumberFormat="1" applyFont="1" applyFill="1" applyBorder="1" applyAlignment="1" applyProtection="1">
      <alignment horizontal="right" vertical="center"/>
      <protection locked="0"/>
    </xf>
    <xf numFmtId="208" fontId="20" fillId="0" borderId="9" xfId="0" applyNumberFormat="1" applyFont="1" applyFill="1" applyBorder="1" applyAlignment="1" applyProtection="1">
      <alignment horizontal="right" vertical="center"/>
      <protection locked="0"/>
    </xf>
    <xf numFmtId="208" fontId="20" fillId="0" borderId="17" xfId="0" applyNumberFormat="1" applyFont="1" applyFill="1" applyBorder="1" applyAlignment="1" applyProtection="1">
      <alignment horizontal="right" vertical="center"/>
      <protection locked="0"/>
    </xf>
    <xf numFmtId="0" fontId="23" fillId="0" borderId="27" xfId="262" applyFont="1" applyFill="1" applyBorder="1" applyAlignment="1" applyProtection="1">
      <alignment horizontal="left" vertical="center" wrapText="1"/>
      <protection locked="0"/>
    </xf>
    <xf numFmtId="208" fontId="20" fillId="0" borderId="27" xfId="0" applyNumberFormat="1" applyFont="1" applyFill="1" applyBorder="1" applyAlignment="1" applyProtection="1">
      <alignment horizontal="right" vertical="center"/>
      <protection hidden="1"/>
    </xf>
    <xf numFmtId="0" fontId="24" fillId="0" borderId="27" xfId="262" applyFont="1" applyFill="1" applyBorder="1" applyAlignment="1" applyProtection="1">
      <alignment horizontal="left" vertical="center" wrapText="1"/>
      <protection locked="0"/>
    </xf>
    <xf numFmtId="208" fontId="21" fillId="0" borderId="27" xfId="0" applyNumberFormat="1" applyFont="1" applyFill="1" applyBorder="1" applyAlignment="1" applyProtection="1">
      <alignment horizontal="right" vertical="center"/>
      <protection locked="0"/>
    </xf>
    <xf numFmtId="208" fontId="25" fillId="0" borderId="27" xfId="0" applyNumberFormat="1" applyFont="1" applyFill="1" applyBorder="1" applyAlignment="1" applyProtection="1">
      <alignment horizontal="right" vertical="center"/>
      <protection locked="0"/>
    </xf>
    <xf numFmtId="208" fontId="26" fillId="0" borderId="27" xfId="0" applyNumberFormat="1" applyFont="1" applyFill="1" applyBorder="1" applyAlignment="1" applyProtection="1">
      <alignment horizontal="right" vertical="center"/>
      <protection locked="0"/>
    </xf>
    <xf numFmtId="208" fontId="26" fillId="0" borderId="8" xfId="0" applyNumberFormat="1" applyFont="1" applyFill="1" applyBorder="1" applyAlignment="1" applyProtection="1">
      <alignment horizontal="right" vertical="center"/>
      <protection locked="0"/>
    </xf>
    <xf numFmtId="208" fontId="21" fillId="0" borderId="9" xfId="0" applyNumberFormat="1" applyFont="1" applyFill="1" applyBorder="1" applyAlignment="1" applyProtection="1">
      <alignment horizontal="right" vertical="center"/>
      <protection locked="0"/>
    </xf>
    <xf numFmtId="208" fontId="21" fillId="0" borderId="17" xfId="0" applyNumberFormat="1" applyFont="1" applyFill="1" applyBorder="1" applyAlignment="1" applyProtection="1">
      <alignment horizontal="right" vertical="center"/>
      <protection locked="0"/>
    </xf>
    <xf numFmtId="0" fontId="27" fillId="0" borderId="0" xfId="207" applyFill="1" applyAlignment="1" applyProtection="1">
      <alignment vertical="center"/>
      <protection locked="0"/>
    </xf>
    <xf numFmtId="0" fontId="27" fillId="0" borderId="0" xfId="207" applyFont="1" applyFill="1" applyProtection="1">
      <protection locked="0"/>
    </xf>
    <xf numFmtId="0" fontId="27" fillId="0" borderId="0" xfId="207" applyFill="1" applyBorder="1" applyAlignment="1" applyProtection="1">
      <alignment horizontal="left"/>
      <protection locked="0"/>
    </xf>
    <xf numFmtId="0" fontId="28" fillId="0" borderId="0" xfId="207" applyFont="1" applyFill="1" applyProtection="1">
      <protection locked="0"/>
    </xf>
    <xf numFmtId="0" fontId="27" fillId="0" borderId="0" xfId="207" applyFill="1" applyProtection="1">
      <protection locked="0"/>
    </xf>
    <xf numFmtId="0" fontId="2" fillId="0" borderId="0" xfId="207" applyFont="1" applyFill="1" applyBorder="1" applyAlignment="1" applyProtection="1">
      <alignment horizontal="center" vertical="center"/>
      <protection locked="0"/>
    </xf>
    <xf numFmtId="0" fontId="12" fillId="0" borderId="0" xfId="348" applyFont="1" applyFill="1" applyAlignment="1" applyProtection="1">
      <alignment vertical="center"/>
      <protection locked="0"/>
    </xf>
    <xf numFmtId="208" fontId="27" fillId="0" borderId="0" xfId="207" applyNumberFormat="1" applyFill="1" applyAlignment="1" applyProtection="1">
      <alignment vertical="center"/>
      <protection locked="0"/>
    </xf>
    <xf numFmtId="208" fontId="12" fillId="0" borderId="26" xfId="207" applyNumberFormat="1" applyFont="1" applyFill="1" applyBorder="1" applyAlignment="1" applyProtection="1">
      <alignment horizontal="center" vertical="center" wrapText="1" shrinkToFit="1"/>
      <protection locked="0"/>
    </xf>
    <xf numFmtId="0" fontId="1" fillId="0" borderId="1" xfId="207" applyFont="1" applyFill="1" applyBorder="1" applyAlignment="1" applyProtection="1">
      <alignment horizontal="center" vertical="center" wrapText="1"/>
      <protection hidden="1"/>
    </xf>
    <xf numFmtId="208" fontId="12" fillId="0" borderId="27" xfId="207" applyNumberFormat="1" applyFont="1" applyFill="1" applyBorder="1" applyAlignment="1" applyProtection="1">
      <alignment horizontal="center" vertical="center" wrapText="1" shrinkToFit="1"/>
      <protection locked="0"/>
    </xf>
    <xf numFmtId="0" fontId="3" fillId="0" borderId="4" xfId="207" applyFont="1" applyFill="1" applyBorder="1" applyAlignment="1" applyProtection="1">
      <alignment horizontal="center" vertical="center" wrapText="1"/>
      <protection locked="0"/>
    </xf>
    <xf numFmtId="0" fontId="5" fillId="0" borderId="27" xfId="207" applyFont="1" applyFill="1" applyBorder="1" applyAlignment="1" applyProtection="1">
      <alignment horizontal="left" vertical="center" wrapText="1"/>
      <protection locked="0"/>
    </xf>
    <xf numFmtId="208" fontId="29" fillId="0" borderId="26" xfId="0" applyNumberFormat="1" applyFont="1" applyFill="1" applyBorder="1" applyProtection="1">
      <alignment vertical="center"/>
      <protection locked="0"/>
    </xf>
    <xf numFmtId="208" fontId="29" fillId="0" borderId="27" xfId="0" applyNumberFormat="1" applyFont="1" applyFill="1" applyBorder="1" applyProtection="1">
      <alignment vertical="center"/>
      <protection locked="0"/>
    </xf>
    <xf numFmtId="0" fontId="3" fillId="0" borderId="27" xfId="207" applyFont="1" applyFill="1" applyBorder="1" applyAlignment="1" applyProtection="1">
      <alignment horizontal="left" vertical="center" wrapText="1"/>
      <protection locked="0"/>
    </xf>
    <xf numFmtId="208" fontId="12" fillId="0" borderId="27" xfId="0" applyNumberFormat="1" applyFont="1" applyFill="1" applyBorder="1" applyProtection="1">
      <alignment vertical="center"/>
      <protection locked="0"/>
    </xf>
    <xf numFmtId="0" fontId="5" fillId="0" borderId="27" xfId="207" applyFont="1" applyFill="1" applyBorder="1" applyAlignment="1" applyProtection="1">
      <alignment horizontal="left" vertical="center" wrapText="1" shrinkToFit="1"/>
      <protection locked="0"/>
    </xf>
    <xf numFmtId="0" fontId="5" fillId="0" borderId="27" xfId="180" applyFont="1" applyFill="1" applyBorder="1" applyAlignment="1" applyProtection="1">
      <alignment horizontal="left" vertical="center" wrapText="1"/>
      <protection locked="0"/>
    </xf>
    <xf numFmtId="0" fontId="3" fillId="0" borderId="27" xfId="207" applyFont="1" applyFill="1" applyBorder="1" applyAlignment="1" applyProtection="1">
      <alignment horizontal="center" vertical="center" wrapText="1"/>
      <protection locked="0"/>
    </xf>
    <xf numFmtId="0" fontId="3" fillId="0" borderId="27" xfId="180" applyFont="1" applyFill="1" applyBorder="1" applyAlignment="1" applyProtection="1">
      <alignment horizontal="left" vertical="center" wrapText="1"/>
      <protection locked="0"/>
    </xf>
    <xf numFmtId="0" fontId="3" fillId="0" borderId="27" xfId="207" applyFont="1" applyFill="1" applyBorder="1" applyAlignment="1" applyProtection="1">
      <alignment horizontal="left" vertical="center" wrapText="1" shrinkToFit="1"/>
      <protection locked="0"/>
    </xf>
    <xf numFmtId="0" fontId="3" fillId="0" borderId="29" xfId="207" applyFont="1" applyFill="1" applyBorder="1" applyAlignment="1" applyProtection="1">
      <alignment horizontal="left" vertical="center" wrapText="1" shrinkToFit="1"/>
      <protection locked="0"/>
    </xf>
    <xf numFmtId="208" fontId="12" fillId="0" borderId="29" xfId="0" applyNumberFormat="1" applyFont="1" applyFill="1" applyBorder="1" applyProtection="1">
      <alignment vertical="center"/>
      <protection locked="0"/>
    </xf>
    <xf numFmtId="0" fontId="3" fillId="0" borderId="3" xfId="207" applyFont="1" applyFill="1" applyBorder="1" applyAlignment="1" applyProtection="1">
      <alignment horizontal="center" vertical="center" wrapText="1"/>
      <protection locked="0"/>
    </xf>
    <xf numFmtId="208" fontId="27" fillId="0" borderId="0" xfId="207" applyNumberFormat="1" applyFill="1" applyProtection="1">
      <protection locked="0"/>
    </xf>
    <xf numFmtId="208" fontId="29" fillId="0" borderId="14" xfId="0" applyNumberFormat="1" applyFont="1" applyFill="1" applyBorder="1" applyProtection="1">
      <alignment vertical="center"/>
      <protection locked="0"/>
    </xf>
    <xf numFmtId="208" fontId="29" fillId="0" borderId="21" xfId="0" applyNumberFormat="1" applyFont="1" applyFill="1" applyBorder="1" applyProtection="1">
      <alignment vertical="center"/>
      <protection locked="0"/>
    </xf>
    <xf numFmtId="208" fontId="29" fillId="0" borderId="8" xfId="0" applyNumberFormat="1" applyFont="1" applyFill="1" applyBorder="1" applyProtection="1">
      <alignment vertical="center"/>
      <protection locked="0"/>
    </xf>
    <xf numFmtId="208" fontId="29" fillId="0" borderId="17" xfId="0" applyNumberFormat="1" applyFont="1" applyFill="1" applyBorder="1" applyProtection="1">
      <alignment vertical="center"/>
      <protection locked="0"/>
    </xf>
    <xf numFmtId="208" fontId="12" fillId="0" borderId="8" xfId="0" applyNumberFormat="1" applyFont="1" applyFill="1" applyBorder="1" applyProtection="1">
      <alignment vertical="center"/>
      <protection locked="0"/>
    </xf>
    <xf numFmtId="208" fontId="12" fillId="0" borderId="17" xfId="0" applyNumberFormat="1" applyFont="1" applyFill="1" applyBorder="1" applyProtection="1">
      <alignment vertical="center"/>
      <protection locked="0"/>
    </xf>
    <xf numFmtId="208" fontId="27" fillId="0" borderId="0" xfId="207" applyNumberFormat="1" applyFont="1" applyFill="1" applyProtection="1">
      <protection locked="0"/>
    </xf>
    <xf numFmtId="0" fontId="27" fillId="0" borderId="0" xfId="207" applyFill="1" applyAlignment="1" applyProtection="1">
      <alignment horizontal="center"/>
      <protection locked="0"/>
    </xf>
    <xf numFmtId="208" fontId="27" fillId="0" borderId="1" xfId="207" applyNumberFormat="1" applyFont="1" applyFill="1" applyBorder="1" applyAlignment="1" applyProtection="1">
      <alignment horizontal="center" vertical="center"/>
      <protection locked="0"/>
    </xf>
    <xf numFmtId="0" fontId="27" fillId="0" borderId="1" xfId="207" applyFont="1" applyFill="1" applyBorder="1" applyAlignment="1" applyProtection="1">
      <alignment horizontal="center" vertical="center"/>
      <protection locked="0"/>
    </xf>
    <xf numFmtId="1" fontId="27" fillId="0" borderId="1" xfId="207" applyNumberFormat="1" applyFill="1" applyBorder="1" applyAlignment="1" applyProtection="1">
      <alignment horizontal="right" vertical="center"/>
      <protection locked="0"/>
    </xf>
    <xf numFmtId="208" fontId="12" fillId="0" borderId="11" xfId="0" applyNumberFormat="1" applyFont="1" applyFill="1" applyBorder="1" applyProtection="1">
      <alignment vertical="center"/>
      <protection locked="0"/>
    </xf>
    <xf numFmtId="208" fontId="12" fillId="0" borderId="18" xfId="0" applyNumberFormat="1" applyFont="1" applyFill="1" applyBorder="1" applyProtection="1">
      <alignment vertical="center"/>
      <protection locked="0"/>
    </xf>
    <xf numFmtId="1" fontId="27" fillId="0" borderId="1" xfId="207" applyNumberFormat="1" applyFont="1" applyFill="1" applyBorder="1" applyAlignment="1" applyProtection="1">
      <alignment horizontal="right" vertical="center"/>
      <protection locked="0"/>
    </xf>
    <xf numFmtId="0" fontId="27" fillId="0" borderId="0" xfId="207" applyFill="1" applyAlignment="1" applyProtection="1">
      <alignment vertical="top" wrapText="1"/>
      <protection locked="0"/>
    </xf>
    <xf numFmtId="2" fontId="27" fillId="0" borderId="1" xfId="207" applyNumberFormat="1" applyFill="1" applyBorder="1" applyAlignment="1" applyProtection="1">
      <alignment horizontal="right" vertical="center"/>
      <protection locked="0"/>
    </xf>
    <xf numFmtId="0" fontId="30" fillId="0" borderId="0" xfId="207" applyFont="1" applyFill="1" applyProtection="1">
      <protection locked="0"/>
    </xf>
    <xf numFmtId="0" fontId="3" fillId="0" borderId="0" xfId="348" applyFont="1" applyFill="1" applyAlignment="1" applyProtection="1">
      <alignment vertical="center"/>
      <protection locked="0"/>
    </xf>
    <xf numFmtId="0" fontId="26" fillId="0" borderId="0" xfId="348" applyFont="1" applyFill="1" applyProtection="1">
      <alignment vertical="center"/>
      <protection locked="0"/>
    </xf>
    <xf numFmtId="0" fontId="30" fillId="0" borderId="0" xfId="348" applyFont="1" applyFill="1" applyProtection="1">
      <alignment vertical="center"/>
      <protection locked="0"/>
    </xf>
    <xf numFmtId="0" fontId="27" fillId="0" borderId="0" xfId="348" applyFill="1" applyProtection="1">
      <alignment vertical="center"/>
      <protection locked="0"/>
    </xf>
    <xf numFmtId="210" fontId="27" fillId="0" borderId="0" xfId="348" applyNumberFormat="1" applyFill="1" applyProtection="1">
      <alignment vertical="center"/>
      <protection locked="0"/>
    </xf>
    <xf numFmtId="0" fontId="11" fillId="0" borderId="0" xfId="348" applyFont="1" applyFill="1" applyAlignment="1" applyProtection="1">
      <alignment horizontal="center" vertical="center"/>
      <protection locked="0"/>
    </xf>
    <xf numFmtId="204" fontId="3" fillId="0" borderId="0" xfId="348" applyNumberFormat="1" applyFont="1" applyFill="1" applyAlignment="1" applyProtection="1">
      <alignment vertical="center"/>
      <protection locked="0"/>
    </xf>
    <xf numFmtId="0" fontId="3" fillId="0" borderId="0" xfId="348" applyFont="1" applyFill="1" applyAlignment="1" applyProtection="1">
      <alignment horizontal="right" vertical="center"/>
      <protection locked="0"/>
    </xf>
    <xf numFmtId="0" fontId="20" fillId="0" borderId="14" xfId="348" applyFont="1" applyFill="1" applyBorder="1" applyAlignment="1" applyProtection="1">
      <alignment horizontal="center" vertical="center"/>
      <protection locked="0"/>
    </xf>
    <xf numFmtId="204" fontId="20" fillId="0" borderId="21" xfId="348" applyNumberFormat="1" applyFont="1" applyFill="1" applyBorder="1" applyAlignment="1" applyProtection="1">
      <alignment horizontal="center" vertical="center" wrapText="1"/>
      <protection hidden="1"/>
    </xf>
    <xf numFmtId="0" fontId="20" fillId="0" borderId="2" xfId="348" applyFont="1" applyFill="1" applyBorder="1" applyAlignment="1" applyProtection="1">
      <alignment vertical="center" wrapText="1" shrinkToFit="1"/>
      <protection locked="0"/>
    </xf>
    <xf numFmtId="204" fontId="12" fillId="0" borderId="2" xfId="348" applyNumberFormat="1" applyFont="1" applyFill="1" applyBorder="1" applyAlignment="1" applyProtection="1">
      <alignment horizontal="center" vertical="center" wrapText="1"/>
      <protection locked="0"/>
    </xf>
    <xf numFmtId="0" fontId="12" fillId="0" borderId="2" xfId="348" applyFont="1" applyFill="1" applyBorder="1" applyAlignment="1" applyProtection="1">
      <alignment horizontal="center" vertical="center" wrapText="1" shrinkToFit="1"/>
      <protection locked="0"/>
    </xf>
    <xf numFmtId="0" fontId="12" fillId="0" borderId="30" xfId="348" applyFont="1" applyFill="1" applyBorder="1" applyAlignment="1" applyProtection="1">
      <alignment horizontal="center" vertical="center" wrapText="1" shrinkToFit="1"/>
      <protection locked="0"/>
    </xf>
    <xf numFmtId="0" fontId="12" fillId="0" borderId="22" xfId="348" applyFont="1" applyFill="1" applyBorder="1" applyAlignment="1" applyProtection="1">
      <alignment horizontal="center" vertical="center" wrapText="1" shrinkToFit="1"/>
      <protection locked="0"/>
    </xf>
    <xf numFmtId="0" fontId="12" fillId="0" borderId="19" xfId="348" applyFont="1" applyFill="1" applyBorder="1" applyAlignment="1" applyProtection="1">
      <alignment horizontal="center" vertical="center" wrapText="1" shrinkToFit="1"/>
      <protection locked="0"/>
    </xf>
    <xf numFmtId="0" fontId="20" fillId="0" borderId="8" xfId="348" applyFont="1" applyFill="1" applyBorder="1" applyAlignment="1" applyProtection="1">
      <alignment horizontal="center" vertical="center"/>
      <protection locked="0"/>
    </xf>
    <xf numFmtId="204" fontId="20" fillId="0" borderId="17" xfId="348" applyNumberFormat="1" applyFont="1" applyFill="1" applyBorder="1" applyAlignment="1" applyProtection="1">
      <alignment horizontal="center" vertical="center" wrapText="1"/>
      <protection hidden="1"/>
    </xf>
    <xf numFmtId="0" fontId="20" fillId="0" borderId="4" xfId="348" applyFont="1" applyFill="1" applyBorder="1" applyAlignment="1" applyProtection="1">
      <alignment vertical="center" wrapText="1" shrinkToFit="1"/>
      <protection locked="0"/>
    </xf>
    <xf numFmtId="204" fontId="12" fillId="0" borderId="3" xfId="348" applyNumberFormat="1" applyFont="1" applyFill="1" applyBorder="1" applyAlignment="1" applyProtection="1">
      <alignment horizontal="center" vertical="center"/>
      <protection locked="0"/>
    </xf>
    <xf numFmtId="0" fontId="12" fillId="0" borderId="4" xfId="348" applyFont="1" applyFill="1" applyBorder="1" applyAlignment="1" applyProtection="1">
      <alignment horizontal="center" vertical="center" wrapText="1" shrinkToFit="1"/>
      <protection locked="0"/>
    </xf>
    <xf numFmtId="0" fontId="12" fillId="0" borderId="31" xfId="348" applyFont="1" applyFill="1" applyBorder="1" applyAlignment="1" applyProtection="1">
      <alignment horizontal="center" vertical="center" wrapText="1" shrinkToFit="1"/>
      <protection locked="0"/>
    </xf>
    <xf numFmtId="0" fontId="12" fillId="0" borderId="32" xfId="348" applyFont="1" applyFill="1" applyBorder="1" applyAlignment="1" applyProtection="1">
      <alignment horizontal="center" vertical="center" wrapText="1" shrinkToFit="1"/>
      <protection locked="0"/>
    </xf>
    <xf numFmtId="0" fontId="12" fillId="0" borderId="33" xfId="348" applyFont="1" applyFill="1" applyBorder="1" applyAlignment="1" applyProtection="1">
      <alignment horizontal="center" vertical="center" wrapText="1" shrinkToFit="1"/>
      <protection locked="0"/>
    </xf>
    <xf numFmtId="0" fontId="31" fillId="0" borderId="8" xfId="348" applyFont="1" applyFill="1" applyBorder="1" applyAlignment="1" applyProtection="1">
      <alignment vertical="center" wrapText="1"/>
      <protection locked="0"/>
    </xf>
    <xf numFmtId="204" fontId="29" fillId="0" borderId="17" xfId="384" applyNumberFormat="1" applyFont="1" applyFill="1" applyBorder="1" applyAlignment="1" applyProtection="1">
      <alignment vertical="center" shrinkToFit="1"/>
      <protection hidden="1"/>
    </xf>
    <xf numFmtId="208" fontId="29" fillId="0" borderId="21" xfId="384" applyNumberFormat="1" applyFont="1" applyFill="1" applyBorder="1" applyAlignment="1" applyProtection="1">
      <alignment vertical="center" shrinkToFit="1"/>
      <protection locked="0"/>
    </xf>
    <xf numFmtId="208" fontId="29" fillId="0" borderId="15" xfId="384" applyNumberFormat="1" applyFont="1" applyFill="1" applyBorder="1" applyAlignment="1" applyProtection="1">
      <alignment vertical="center" shrinkToFit="1"/>
      <protection locked="0"/>
    </xf>
    <xf numFmtId="208" fontId="29" fillId="0" borderId="9" xfId="384" applyNumberFormat="1" applyFont="1" applyFill="1" applyBorder="1" applyAlignment="1" applyProtection="1">
      <alignment vertical="center" shrinkToFit="1"/>
      <protection locked="0"/>
    </xf>
    <xf numFmtId="210" fontId="29" fillId="0" borderId="21" xfId="384" applyNumberFormat="1" applyFont="1" applyFill="1" applyBorder="1" applyAlignment="1" applyProtection="1">
      <alignment vertical="center" shrinkToFit="1"/>
      <protection locked="0"/>
    </xf>
    <xf numFmtId="0" fontId="31" fillId="0" borderId="8" xfId="348" applyFont="1" applyFill="1" applyBorder="1" applyAlignment="1" applyProtection="1">
      <alignment vertical="center"/>
      <protection locked="0"/>
    </xf>
    <xf numFmtId="208" fontId="29" fillId="0" borderId="17" xfId="384" applyNumberFormat="1" applyFont="1" applyFill="1" applyBorder="1" applyAlignment="1" applyProtection="1">
      <alignment vertical="center" shrinkToFit="1"/>
      <protection locked="0"/>
    </xf>
    <xf numFmtId="210" fontId="29" fillId="0" borderId="17" xfId="384" applyNumberFormat="1" applyFont="1" applyFill="1" applyBorder="1" applyAlignment="1" applyProtection="1">
      <alignment vertical="center" shrinkToFit="1"/>
      <protection locked="0"/>
    </xf>
    <xf numFmtId="208" fontId="29" fillId="0" borderId="17" xfId="384" applyNumberFormat="1" applyFont="1" applyFill="1" applyBorder="1" applyAlignment="1" applyProtection="1">
      <alignment vertical="center" shrinkToFit="1"/>
      <protection hidden="1"/>
    </xf>
    <xf numFmtId="0" fontId="21" fillId="0" borderId="8" xfId="348" applyFont="1" applyFill="1" applyBorder="1" applyAlignment="1" applyProtection="1">
      <alignment vertical="center"/>
      <protection locked="0"/>
    </xf>
    <xf numFmtId="0" fontId="20" fillId="0" borderId="8" xfId="348" applyFont="1" applyFill="1" applyBorder="1" applyAlignment="1" applyProtection="1">
      <alignment vertical="center"/>
      <protection locked="0"/>
    </xf>
    <xf numFmtId="208" fontId="12" fillId="0" borderId="17" xfId="384" applyNumberFormat="1" applyFont="1" applyFill="1" applyBorder="1" applyAlignment="1" applyProtection="1">
      <alignment vertical="center" shrinkToFit="1"/>
      <protection hidden="1"/>
    </xf>
    <xf numFmtId="208" fontId="12" fillId="0" borderId="17" xfId="384" applyNumberFormat="1" applyFont="1" applyFill="1" applyBorder="1" applyAlignment="1" applyProtection="1">
      <alignment vertical="center" shrinkToFit="1"/>
      <protection locked="0"/>
    </xf>
    <xf numFmtId="208" fontId="12" fillId="0" borderId="9" xfId="384" applyNumberFormat="1" applyFont="1" applyFill="1" applyBorder="1" applyAlignment="1" applyProtection="1">
      <alignment vertical="center" shrinkToFit="1"/>
      <protection locked="0"/>
    </xf>
    <xf numFmtId="210" fontId="12" fillId="0" borderId="17" xfId="384" applyNumberFormat="1" applyFont="1" applyFill="1" applyBorder="1" applyAlignment="1" applyProtection="1">
      <alignment vertical="center" shrinkToFit="1"/>
      <protection locked="0"/>
    </xf>
    <xf numFmtId="0" fontId="32" fillId="0" borderId="8" xfId="518" applyFont="1" applyFill="1" applyBorder="1" applyAlignment="1" applyProtection="1">
      <alignment horizontal="left" vertical="center" shrinkToFit="1"/>
      <protection locked="0"/>
    </xf>
    <xf numFmtId="0" fontId="20" fillId="0" borderId="8" xfId="352" applyFont="1" applyFill="1" applyBorder="1" applyAlignment="1" applyProtection="1">
      <alignment vertical="center"/>
      <protection locked="0"/>
    </xf>
    <xf numFmtId="0" fontId="27" fillId="0" borderId="8" xfId="519" applyFont="1" applyFill="1" applyBorder="1" applyAlignment="1" applyProtection="1">
      <alignment vertical="center"/>
      <protection locked="0"/>
    </xf>
    <xf numFmtId="0" fontId="12" fillId="0" borderId="8" xfId="348" applyFont="1" applyFill="1" applyBorder="1" applyAlignment="1" applyProtection="1">
      <alignment vertical="center"/>
      <protection locked="0"/>
    </xf>
    <xf numFmtId="0" fontId="20" fillId="0" borderId="8" xfId="519" applyFont="1" applyFill="1" applyBorder="1" applyAlignment="1" applyProtection="1">
      <alignment vertical="center"/>
      <protection locked="0"/>
    </xf>
    <xf numFmtId="208" fontId="3" fillId="0" borderId="17" xfId="384" applyNumberFormat="1" applyFont="1" applyFill="1" applyBorder="1" applyAlignment="1" applyProtection="1">
      <alignment vertical="center" shrinkToFit="1"/>
      <protection hidden="1"/>
    </xf>
    <xf numFmtId="0" fontId="20" fillId="0" borderId="11" xfId="519" applyFont="1" applyFill="1" applyBorder="1" applyAlignment="1" applyProtection="1">
      <alignment vertical="center"/>
      <protection locked="0"/>
    </xf>
    <xf numFmtId="208" fontId="12" fillId="0" borderId="18" xfId="384" applyNumberFormat="1" applyFont="1" applyFill="1" applyBorder="1" applyAlignment="1" applyProtection="1">
      <alignment vertical="center" shrinkToFit="1"/>
      <protection hidden="1"/>
    </xf>
    <xf numFmtId="0" fontId="20" fillId="0" borderId="3" xfId="348" applyFont="1" applyFill="1" applyBorder="1" applyAlignment="1" applyProtection="1">
      <alignment vertical="center" wrapText="1" shrinkToFit="1"/>
      <protection locked="0"/>
    </xf>
    <xf numFmtId="208" fontId="12" fillId="0" borderId="18" xfId="384" applyNumberFormat="1" applyFont="1" applyFill="1" applyBorder="1" applyAlignment="1" applyProtection="1">
      <alignment vertical="center" shrinkToFit="1"/>
      <protection locked="0"/>
    </xf>
    <xf numFmtId="0" fontId="12" fillId="0" borderId="3" xfId="348" applyFont="1" applyFill="1" applyBorder="1" applyAlignment="1" applyProtection="1">
      <alignment horizontal="center" vertical="center" wrapText="1" shrinkToFit="1"/>
      <protection locked="0"/>
    </xf>
    <xf numFmtId="208" fontId="12" fillId="0" borderId="12" xfId="384" applyNumberFormat="1" applyFont="1" applyFill="1" applyBorder="1" applyAlignment="1" applyProtection="1">
      <alignment vertical="center" shrinkToFit="1"/>
      <protection locked="0"/>
    </xf>
    <xf numFmtId="210" fontId="12" fillId="0" borderId="18" xfId="384" applyNumberFormat="1" applyFont="1" applyFill="1" applyBorder="1" applyAlignment="1" applyProtection="1">
      <alignment vertical="center" shrinkToFit="1"/>
      <protection locked="0"/>
    </xf>
    <xf numFmtId="0" fontId="12" fillId="0" borderId="34" xfId="348" applyFont="1" applyFill="1" applyBorder="1" applyAlignment="1" applyProtection="1">
      <alignment horizontal="center" vertical="center" wrapText="1" shrinkToFit="1"/>
      <protection locked="0"/>
    </xf>
    <xf numFmtId="0" fontId="12" fillId="0" borderId="35" xfId="348" applyFont="1" applyFill="1" applyBorder="1" applyAlignment="1" applyProtection="1">
      <alignment horizontal="center" vertical="center" wrapText="1" shrinkToFit="1"/>
      <protection locked="0"/>
    </xf>
    <xf numFmtId="0" fontId="12" fillId="0" borderId="28" xfId="348" applyFont="1" applyFill="1" applyBorder="1" applyAlignment="1" applyProtection="1">
      <alignment horizontal="center" vertical="center" wrapText="1" shrinkToFit="1"/>
      <protection locked="0"/>
    </xf>
    <xf numFmtId="210" fontId="12" fillId="0" borderId="1" xfId="348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348" applyFont="1" applyFill="1" applyBorder="1" applyAlignment="1" applyProtection="1">
      <alignment horizontal="center" vertical="center" wrapText="1"/>
      <protection locked="0"/>
    </xf>
    <xf numFmtId="208" fontId="29" fillId="2" borderId="36" xfId="384" applyNumberFormat="1" applyFont="1" applyFill="1" applyBorder="1" applyAlignment="1" applyProtection="1">
      <alignment vertical="center" shrinkToFit="1"/>
      <protection locked="0"/>
    </xf>
    <xf numFmtId="208" fontId="29" fillId="2" borderId="14" xfId="384" applyNumberFormat="1" applyFont="1" applyFill="1" applyBorder="1" applyAlignment="1" applyProtection="1">
      <alignment vertical="center" shrinkToFit="1"/>
      <protection locked="0"/>
    </xf>
    <xf numFmtId="208" fontId="29" fillId="0" borderId="15" xfId="384" applyNumberFormat="1" applyFont="1" applyFill="1" applyBorder="1" applyAlignment="1" applyProtection="1">
      <alignment horizontal="right" vertical="center" shrinkToFit="1"/>
      <protection locked="0"/>
    </xf>
    <xf numFmtId="208" fontId="29" fillId="2" borderId="37" xfId="384" applyNumberFormat="1" applyFont="1" applyFill="1" applyBorder="1" applyAlignment="1" applyProtection="1">
      <alignment vertical="center" shrinkToFit="1"/>
      <protection locked="0"/>
    </xf>
    <xf numFmtId="208" fontId="29" fillId="2" borderId="8" xfId="384" applyNumberFormat="1" applyFont="1" applyFill="1" applyBorder="1" applyAlignment="1" applyProtection="1">
      <alignment vertical="center" shrinkToFit="1"/>
      <protection locked="0"/>
    </xf>
    <xf numFmtId="208" fontId="29" fillId="0" borderId="37" xfId="384" applyNumberFormat="1" applyFont="1" applyFill="1" applyBorder="1" applyAlignment="1" applyProtection="1">
      <alignment vertical="center" shrinkToFit="1"/>
      <protection locked="0"/>
    </xf>
    <xf numFmtId="208" fontId="29" fillId="0" borderId="8" xfId="384" applyNumberFormat="1" applyFont="1" applyFill="1" applyBorder="1" applyAlignment="1" applyProtection="1">
      <alignment vertical="center" shrinkToFit="1"/>
      <protection locked="0"/>
    </xf>
    <xf numFmtId="208" fontId="12" fillId="0" borderId="37" xfId="384" applyNumberFormat="1" applyFont="1" applyFill="1" applyBorder="1" applyAlignment="1" applyProtection="1">
      <alignment vertical="center" shrinkToFit="1"/>
      <protection locked="0"/>
    </xf>
    <xf numFmtId="208" fontId="12" fillId="0" borderId="8" xfId="384" applyNumberFormat="1" applyFont="1" applyFill="1" applyBorder="1" applyAlignment="1" applyProtection="1">
      <alignment vertical="center" shrinkToFit="1"/>
      <protection locked="0"/>
    </xf>
    <xf numFmtId="208" fontId="12" fillId="0" borderId="38" xfId="384" applyNumberFormat="1" applyFont="1" applyFill="1" applyBorder="1" applyAlignment="1" applyProtection="1">
      <alignment vertical="center" shrinkToFit="1"/>
      <protection locked="0"/>
    </xf>
    <xf numFmtId="208" fontId="12" fillId="0" borderId="11" xfId="384" applyNumberFormat="1" applyFont="1" applyFill="1" applyBorder="1" applyAlignment="1" applyProtection="1">
      <alignment vertical="center" shrinkToFit="1"/>
      <protection locked="0"/>
    </xf>
    <xf numFmtId="0" fontId="12" fillId="0" borderId="23" xfId="348" applyFont="1" applyFill="1" applyBorder="1" applyAlignment="1" applyProtection="1">
      <alignment horizontal="center" vertical="center" wrapText="1" shrinkToFit="1"/>
      <protection locked="0"/>
    </xf>
    <xf numFmtId="208" fontId="26" fillId="0" borderId="0" xfId="348" applyNumberFormat="1" applyFont="1" applyFill="1" applyProtection="1">
      <alignment vertical="center"/>
      <protection locked="0"/>
    </xf>
    <xf numFmtId="207" fontId="26" fillId="0" borderId="0" xfId="348" applyNumberFormat="1" applyFont="1" applyFill="1" applyProtection="1">
      <alignment vertical="center"/>
      <protection locked="0"/>
    </xf>
    <xf numFmtId="0" fontId="11" fillId="0" borderId="0" xfId="262" applyFont="1" applyFill="1" applyAlignment="1" applyProtection="1" quotePrefix="1">
      <alignment horizontal="center" vertical="center"/>
      <protection locked="0"/>
    </xf>
    <xf numFmtId="0" fontId="15" fillId="0" borderId="26" xfId="262" applyFont="1" applyFill="1" applyBorder="1" applyAlignment="1" applyProtection="1" quotePrefix="1">
      <alignment horizontal="left" vertical="center"/>
      <protection locked="0"/>
    </xf>
    <xf numFmtId="0" fontId="15" fillId="0" borderId="27" xfId="262" applyFont="1" applyFill="1" applyBorder="1" applyAlignment="1" applyProtection="1" quotePrefix="1">
      <alignment horizontal="left" vertical="center" wrapText="1"/>
      <protection locked="0"/>
    </xf>
    <xf numFmtId="0" fontId="0" fillId="0" borderId="27" xfId="262" applyFont="1" applyFill="1" applyBorder="1" applyAlignment="1" applyProtection="1" quotePrefix="1">
      <alignment horizontal="left" vertical="center" wrapText="1"/>
      <protection locked="0"/>
    </xf>
    <xf numFmtId="0" fontId="14" fillId="0" borderId="27" xfId="262" applyFont="1" applyFill="1" applyBorder="1" applyAlignment="1" applyProtection="1" quotePrefix="1">
      <alignment horizontal="left" vertical="center" wrapText="1"/>
      <protection locked="0"/>
    </xf>
    <xf numFmtId="0" fontId="0" fillId="0" borderId="27" xfId="262" applyFill="1" applyBorder="1" applyAlignment="1" applyProtection="1" quotePrefix="1">
      <alignment horizontal="left" vertical="center" wrapText="1"/>
      <protection locked="0"/>
    </xf>
    <xf numFmtId="0" fontId="23" fillId="0" borderId="27" xfId="262" applyFont="1" applyFill="1" applyBorder="1" applyAlignment="1" applyProtection="1" quotePrefix="1">
      <alignment horizontal="left" vertical="center" wrapText="1"/>
      <protection locked="0"/>
    </xf>
    <xf numFmtId="0" fontId="24" fillId="0" borderId="27" xfId="262" applyFont="1" applyFill="1" applyBorder="1" applyAlignment="1" applyProtection="1" quotePrefix="1">
      <alignment horizontal="left" vertical="center" wrapText="1"/>
      <protection locked="0"/>
    </xf>
    <xf numFmtId="0" fontId="3" fillId="0" borderId="9" xfId="246" applyFont="1" applyFill="1" applyBorder="1" applyAlignment="1" applyProtection="1" quotePrefix="1">
      <alignment horizontal="center" vertical="center" wrapText="1"/>
      <protection locked="0"/>
    </xf>
    <xf numFmtId="0" fontId="3" fillId="0" borderId="17" xfId="246" applyFont="1" applyFill="1" applyBorder="1" applyAlignment="1" applyProtection="1" quotePrefix="1">
      <alignment horizontal="center" vertical="center" wrapText="1"/>
      <protection locked="0"/>
    </xf>
    <xf numFmtId="0" fontId="10" fillId="0" borderId="8" xfId="262" applyFont="1" applyFill="1" applyBorder="1" applyAlignment="1" applyProtection="1" quotePrefix="1">
      <alignment horizontal="center" vertical="center" wrapText="1"/>
      <protection locked="0"/>
    </xf>
    <xf numFmtId="0" fontId="10" fillId="0" borderId="8" xfId="262" applyFont="1" applyFill="1" applyBorder="1" applyAlignment="1" applyProtection="1" quotePrefix="1">
      <alignment horizontal="left" vertical="center" wrapText="1"/>
      <protection locked="0"/>
    </xf>
    <xf numFmtId="0" fontId="13" fillId="0" borderId="8" xfId="262" applyFont="1" applyFill="1" applyBorder="1" applyAlignment="1" applyProtection="1" quotePrefix="1">
      <alignment horizontal="left" vertical="center" wrapText="1"/>
      <protection locked="0"/>
    </xf>
    <xf numFmtId="0" fontId="4" fillId="0" borderId="8" xfId="262" applyFont="1" applyFill="1" applyBorder="1" applyAlignment="1" applyProtection="1" quotePrefix="1">
      <alignment horizontal="left" vertical="center" wrapText="1"/>
      <protection locked="0"/>
    </xf>
    <xf numFmtId="0" fontId="2" fillId="0" borderId="0" xfId="444" applyFont="1" applyFill="1" applyAlignment="1" applyProtection="1" quotePrefix="1">
      <alignment horizontal="center" vertical="center"/>
      <protection locked="0"/>
    </xf>
    <xf numFmtId="0" fontId="8" fillId="0" borderId="8" xfId="0" applyFont="1" applyFill="1" applyBorder="1" applyAlignment="1" applyProtection="1" quotePrefix="1">
      <alignment horizontal="left" vertical="center" wrapText="1"/>
      <protection locked="0"/>
    </xf>
    <xf numFmtId="0" fontId="9" fillId="0" borderId="8" xfId="444" applyNumberFormat="1" applyFont="1" applyFill="1" applyBorder="1" applyAlignment="1" applyProtection="1" quotePrefix="1">
      <alignment horizontal="left" vertical="center" wrapText="1"/>
      <protection locked="0"/>
    </xf>
    <xf numFmtId="0" fontId="4" fillId="0" borderId="8" xfId="444" applyNumberFormat="1" applyFont="1" applyFill="1" applyBorder="1" applyAlignment="1" applyProtection="1" quotePrefix="1">
      <alignment horizontal="left" vertical="center" wrapText="1"/>
      <protection locked="0"/>
    </xf>
    <xf numFmtId="0" fontId="4" fillId="0" borderId="5" xfId="444" applyNumberFormat="1" applyFont="1" applyFill="1" applyBorder="1" applyAlignment="1" applyProtection="1" quotePrefix="1">
      <alignment horizontal="left" vertical="center" wrapText="1"/>
      <protection locked="0"/>
    </xf>
    <xf numFmtId="0" fontId="7" fillId="0" borderId="11" xfId="0" applyFont="1" applyFill="1" applyBorder="1" applyAlignment="1" applyProtection="1" quotePrefix="1">
      <alignment horizontal="left" vertical="center" wrapText="1"/>
      <protection locked="0"/>
    </xf>
  </cellXfs>
  <cellStyles count="620">
    <cellStyle name="常规" xfId="0" builtinId="0"/>
    <cellStyle name="货币[0]" xfId="1" builtinId="7"/>
    <cellStyle name="货币" xfId="2" builtinId="4"/>
    <cellStyle name="常规 2 2 4" xfId="3"/>
    <cellStyle name="20% - 强调文字颜色 3" xfId="4" builtinId="38"/>
    <cellStyle name="输入" xfId="5" builtinId="20"/>
    <cellStyle name="args.style" xfId="6"/>
    <cellStyle name="Accent2 - 40%" xfId="7"/>
    <cellStyle name="千位分隔[0]" xfId="8" builtinId="6"/>
    <cellStyle name="Hyperlink" xfId="9"/>
    <cellStyle name="千位分隔" xfId="10" builtinId="3"/>
    <cellStyle name="常规 7 3" xfId="11"/>
    <cellStyle name="40% - 强调文字颜色 3" xfId="12" builtinId="39"/>
    <cellStyle name="Input 2" xfId="13"/>
    <cellStyle name="差" xfId="14" builtinId="27"/>
    <cellStyle name="超链接" xfId="15" builtinId="8"/>
    <cellStyle name="Accent2 - 60%" xfId="16"/>
    <cellStyle name="Heading 2 2" xfId="17"/>
    <cellStyle name="_Book1_4 2" xfId="18"/>
    <cellStyle name="60% - 强调文字颜色 3" xfId="19" builtinId="40"/>
    <cellStyle name="百分比" xfId="20" builtinId="5"/>
    <cellStyle name="Emphasis 1" xfId="21"/>
    <cellStyle name="已访问的超链接" xfId="22" builtinId="9"/>
    <cellStyle name="差_Book1 2" xfId="23"/>
    <cellStyle name="60% - 强调文字颜色 2 3" xfId="24"/>
    <cellStyle name="注释" xfId="25" builtinId="10"/>
    <cellStyle name="常规 6" xfId="26"/>
    <cellStyle name="_ET_STYLE_NoName_00__Sheet3" xfId="27"/>
    <cellStyle name="_ET_STYLE_NoName_00__Book1" xfId="28"/>
    <cellStyle name="60% - 强调文字颜色 2" xfId="29" builtinId="36"/>
    <cellStyle name="Entered" xfId="30"/>
    <cellStyle name="标题 4" xfId="31" builtinId="19"/>
    <cellStyle name="警告文本" xfId="32" builtinId="11"/>
    <cellStyle name="常规 6 5" xfId="33"/>
    <cellStyle name="AÞ¸¶_INQUIRY ¿?¾÷AßAø " xfId="34"/>
    <cellStyle name="常规 5 2" xfId="35"/>
    <cellStyle name="标题" xfId="36" builtinId="15"/>
    <cellStyle name="解释性文本" xfId="37" builtinId="53"/>
    <cellStyle name="标题 1" xfId="38" builtinId="16"/>
    <cellStyle name="0,0_x000d__x000a_NA_x000d__x000a_" xfId="39"/>
    <cellStyle name="常规 5 2 2" xfId="40"/>
    <cellStyle name="标题 2" xfId="41" builtinId="17"/>
    <cellStyle name="Accent6 2" xfId="42"/>
    <cellStyle name="60% - 强调文字颜色 1" xfId="43" builtinId="32"/>
    <cellStyle name="标题 3" xfId="44" builtinId="18"/>
    <cellStyle name="60% - 强调文字颜色 4" xfId="45" builtinId="44"/>
    <cellStyle name="输出" xfId="46" builtinId="21"/>
    <cellStyle name="Input" xfId="47"/>
    <cellStyle name="常规 26" xfId="48"/>
    <cellStyle name="常规 31" xfId="49"/>
    <cellStyle name="计算" xfId="50" builtinId="22"/>
    <cellStyle name="40% - 强调文字颜色 4 2" xfId="51"/>
    <cellStyle name="检查单元格" xfId="52" builtinId="23"/>
    <cellStyle name="常规 8 3" xfId="53"/>
    <cellStyle name="20% - 强调文字颜色 6" xfId="54" builtinId="50"/>
    <cellStyle name="强调文字颜色 2" xfId="55" builtinId="33"/>
    <cellStyle name="HEADINGS" xfId="56"/>
    <cellStyle name="常规 6 2 3" xfId="57"/>
    <cellStyle name="链接单元格" xfId="58" builtinId="24"/>
    <cellStyle name="汇总" xfId="59" builtinId="25"/>
    <cellStyle name="Com_x000e_" xfId="60"/>
    <cellStyle name="好" xfId="61" builtinId="26"/>
    <cellStyle name="20% - 强调文字颜色 3 3" xfId="62"/>
    <cellStyle name="Heading 3" xfId="63"/>
    <cellStyle name="适中" xfId="64" builtinId="28"/>
    <cellStyle name="常规 8 2" xfId="65"/>
    <cellStyle name="20% - 强调文字颜色 5" xfId="66" builtinId="46"/>
    <cellStyle name=" 3]_x000d__x000a_Zoomed=1_x000d__x000a_Row=128_x000d__x000a_Column=101_x000d__x000a_Height=300_x000d__x000a_Width=301_x000d__x000a_FontName=System_x000d__x000a_FontStyle=1_x000d__x000a_FontSize=12_x000d__x000a_PrtFontNa" xfId="67"/>
    <cellStyle name="差_分年偿债情况统计表" xfId="68"/>
    <cellStyle name="强调文字颜色 1" xfId="69" builtinId="29"/>
    <cellStyle name="20% - 强调文字颜色 1" xfId="70" builtinId="30"/>
    <cellStyle name="40% - 强调文字颜色 1" xfId="71" builtinId="31"/>
    <cellStyle name="20% - 强调文字颜色 2" xfId="72" builtinId="34"/>
    <cellStyle name="40% - 强调文字颜色 2" xfId="73" builtinId="35"/>
    <cellStyle name="强调文字颜色 3" xfId="74" builtinId="37"/>
    <cellStyle name="差_YB200901" xfId="75"/>
    <cellStyle name="PSChar" xfId="76"/>
    <cellStyle name="强调文字颜色 4" xfId="77" builtinId="41"/>
    <cellStyle name="20% - 强调文字颜色 4" xfId="78" builtinId="42"/>
    <cellStyle name="40% - 强调文字颜色 4" xfId="79" builtinId="43"/>
    <cellStyle name="强调文字颜色 5" xfId="80" builtinId="45"/>
    <cellStyle name="40% - 强调文字颜色 5" xfId="81" builtinId="47"/>
    <cellStyle name="60% - 强调文字颜色 5" xfId="82" builtinId="48"/>
    <cellStyle name="强调文字颜色 6" xfId="83" builtinId="49"/>
    <cellStyle name="40% - 强调文字颜色 6" xfId="84" builtinId="51"/>
    <cellStyle name="60% - 强调文字颜色 6" xfId="85" builtinId="52"/>
    <cellStyle name="_ET_STYLE_NoName_00_" xfId="86"/>
    <cellStyle name="_Book1_1" xfId="87"/>
    <cellStyle name="_ET_STYLE_NoName_00__财政基础数据划转表(李小刚汇总)" xfId="88"/>
    <cellStyle name="常规 3 2 2" xfId="89"/>
    <cellStyle name="??_kc-elec system check list" xfId="90"/>
    <cellStyle name="_ET_STYLE_NoName_00__2.15经建科2012年城建资金收支平衡表（最新）" xfId="91"/>
    <cellStyle name=" 1" xfId="92"/>
    <cellStyle name="差_2016年(基础)" xfId="93"/>
    <cellStyle name="常规 83 2" xfId="94"/>
    <cellStyle name="_ET_STYLE_NoName_00__Book1_1_通讯录(全县)" xfId="95"/>
    <cellStyle name="常规 14 2" xfId="96"/>
    <cellStyle name="常规 4_2011年预算台帐 (20111231确定报国库)" xfId="97"/>
    <cellStyle name="_Book1" xfId="98"/>
    <cellStyle name="_Book1_2" xfId="99"/>
    <cellStyle name="Accent2 - 20%" xfId="100"/>
    <cellStyle name="常规 3 2 3" xfId="101"/>
    <cellStyle name="_Book1_3" xfId="102"/>
    <cellStyle name="Heading 1" xfId="103"/>
    <cellStyle name="常规 3 2 4" xfId="104"/>
    <cellStyle name="_Book1_Book1" xfId="105"/>
    <cellStyle name="_Book1_4" xfId="106"/>
    <cellStyle name="20% - 强调文字颜色 3 2" xfId="107"/>
    <cellStyle name="Heading 2" xfId="108"/>
    <cellStyle name="_ET_STYLE_NoName_00__Book1_1" xfId="109"/>
    <cellStyle name="_ET_STYLE_NoName_00__Book1_2" xfId="110"/>
    <cellStyle name="Accent5 - 20%" xfId="111"/>
    <cellStyle name="_ET_STYLE_NoName_00__Book1_Book1" xfId="112"/>
    <cellStyle name="差_Book1_1" xfId="113"/>
    <cellStyle name="_ET_STYLE_NoName_00__Book1_通讯录(全县)" xfId="114"/>
    <cellStyle name="_ET_STYLE_NoName_00__通讯录(全县)" xfId="115"/>
    <cellStyle name="Total" xfId="116"/>
    <cellStyle name="常规 8 8" xfId="117"/>
    <cellStyle name="_报价1" xfId="118"/>
    <cellStyle name="千位分隔[0] 3 2" xfId="119"/>
    <cellStyle name="_报价清单2" xfId="120"/>
    <cellStyle name="PSChar 2" xfId="121"/>
    <cellStyle name="常规 2 5" xfId="122"/>
    <cellStyle name="_刘文宁全部客户记录-新9-18 (刘文宁 v1)" xfId="123"/>
    <cellStyle name="Output" xfId="124"/>
    <cellStyle name="常规 7 6" xfId="125"/>
    <cellStyle name="_设备清单一卡通-02.2.25" xfId="126"/>
    <cellStyle name="常规 36" xfId="127"/>
    <cellStyle name="20% - 强调文字颜色 1 2" xfId="128"/>
    <cellStyle name="20% - 强调文字颜色 1 3" xfId="129"/>
    <cellStyle name="20% - 强调文字颜色 2 2" xfId="130"/>
    <cellStyle name="20% - 强调文字颜色 2 3" xfId="131"/>
    <cellStyle name="20% - 强调文字颜色 4 2" xfId="132"/>
    <cellStyle name="Mon閠aire_!!!GO" xfId="133"/>
    <cellStyle name="常规 3" xfId="134"/>
    <cellStyle name="20% - 强调文字颜色 4 3" xfId="135"/>
    <cellStyle name="常规 4" xfId="136"/>
    <cellStyle name="20% - 强调文字颜色 5 2" xfId="137"/>
    <cellStyle name="常规 8 2 2" xfId="138"/>
    <cellStyle name="20% - 强调文字颜色 5 3" xfId="139"/>
    <cellStyle name="20% - 强调文字颜色 6 2" xfId="140"/>
    <cellStyle name="AeE­_INQUIRY ¿μ¾÷AßAø " xfId="141"/>
    <cellStyle name="20% - 强调文字颜色 6 3" xfId="142"/>
    <cellStyle name="40% - 强调文字颜色 1 2" xfId="143"/>
    <cellStyle name="Accent1" xfId="144"/>
    <cellStyle name="40% - 强调文字颜色 1 3" xfId="145"/>
    <cellStyle name="常规 9 2" xfId="146"/>
    <cellStyle name="40% - 强调文字颜色 2 2" xfId="147"/>
    <cellStyle name="常规 2 3 2 4" xfId="148"/>
    <cellStyle name="40% - 强调文字颜色 2 3" xfId="149"/>
    <cellStyle name="40% - 强调文字颜色 3 2" xfId="150"/>
    <cellStyle name="40% - 强调文字颜色 3 3" xfId="151"/>
    <cellStyle name="40% - 强调文字颜色 4 3" xfId="152"/>
    <cellStyle name="40% - 强调文字颜色 5 2" xfId="153"/>
    <cellStyle name="40% - 强调文字颜色 5 3" xfId="154"/>
    <cellStyle name="40% - 强调文字颜色 6 2" xfId="155"/>
    <cellStyle name="40% - 强调文字颜色 6 3" xfId="156"/>
    <cellStyle name="60% - 强调文字颜色 1 2" xfId="157"/>
    <cellStyle name="Heading 4" xfId="158"/>
    <cellStyle name="差_MERALCO" xfId="159"/>
    <cellStyle name="常规 5_2011年预算台帐 (20111231确定报国库)" xfId="160"/>
    <cellStyle name="60% - 强调文字颜色 1 3" xfId="161"/>
    <cellStyle name="60% - 强调文字颜色 2 2" xfId="162"/>
    <cellStyle name="常规 5" xfId="163"/>
    <cellStyle name="60% - 强调文字颜色 3 2" xfId="164"/>
    <cellStyle name="60% - 强调文字颜色 3 3" xfId="165"/>
    <cellStyle name="Sheet Title" xfId="166"/>
    <cellStyle name="60% - 强调文字颜色 4 2" xfId="167"/>
    <cellStyle name="Neutral" xfId="168"/>
    <cellStyle name="60% - 强调文字颜色 4 3" xfId="169"/>
    <cellStyle name="60% - 强调文字颜色 5 2" xfId="170"/>
    <cellStyle name="差_2015年(基础)" xfId="171"/>
    <cellStyle name="60% - 强调文字颜色 5 3" xfId="172"/>
    <cellStyle name="60% - 强调文字颜色 6 2" xfId="173"/>
    <cellStyle name="60% - 强调文字颜色 6 3" xfId="174"/>
    <cellStyle name="6mal" xfId="175"/>
    <cellStyle name="Accent1 - 20%" xfId="176"/>
    <cellStyle name="Accent1 - 40%" xfId="177"/>
    <cellStyle name="Accent1 - 60%" xfId="178"/>
    <cellStyle name="Accent1 - 60% 2" xfId="179"/>
    <cellStyle name="常规 2 2 9" xfId="180"/>
    <cellStyle name="Accent1 2" xfId="181"/>
    <cellStyle name="常规 6 7" xfId="182"/>
    <cellStyle name="常规 9 2 2" xfId="183"/>
    <cellStyle name="Accent1_2007工资拨款" xfId="184"/>
    <cellStyle name="Accent2" xfId="185"/>
    <cellStyle name="Header1 2" xfId="186"/>
    <cellStyle name="常规 9 3" xfId="187"/>
    <cellStyle name="Accent2 - 60% 2" xfId="188"/>
    <cellStyle name="Subtotal" xfId="189"/>
    <cellStyle name="Accent2 2" xfId="190"/>
    <cellStyle name="常规 7 7" xfId="191"/>
    <cellStyle name="Accent2_2007工资拨款" xfId="192"/>
    <cellStyle name="Accent3 2" xfId="193"/>
    <cellStyle name="常规 8 7" xfId="194"/>
    <cellStyle name="Accent3" xfId="195"/>
    <cellStyle name="常规 9 4" xfId="196"/>
    <cellStyle name="Accent3 - 20%" xfId="197"/>
    <cellStyle name="Accent5 2" xfId="198"/>
    <cellStyle name="Milliers_!!!GO" xfId="199"/>
    <cellStyle name="Accent3 - 40%" xfId="200"/>
    <cellStyle name="Mon閠aire [0]_!!!GO" xfId="201"/>
    <cellStyle name="Accent3 - 60%" xfId="202"/>
    <cellStyle name="Accent3 - 60% 2" xfId="203"/>
    <cellStyle name="常规 6 2 7" xfId="204"/>
    <cellStyle name="Accent3_2007工资拨款" xfId="205"/>
    <cellStyle name="部门" xfId="206"/>
    <cellStyle name="常规 2 2" xfId="207"/>
    <cellStyle name="Accent4" xfId="208"/>
    <cellStyle name="常规 9 5" xfId="209"/>
    <cellStyle name="Accent4 - 20%" xfId="210"/>
    <cellStyle name="百分比 2 2 2" xfId="211"/>
    <cellStyle name="差_分年偿债情况统计表H" xfId="212"/>
    <cellStyle name="Accent4 - 40%" xfId="213"/>
    <cellStyle name="Accent4 - 60%" xfId="214"/>
    <cellStyle name="捠壿 [0.00]_Region Orders (2)" xfId="215"/>
    <cellStyle name="Accent4 - 60% 2" xfId="216"/>
    <cellStyle name="Accent4 2" xfId="217"/>
    <cellStyle name="Accent6" xfId="218"/>
    <cellStyle name="常规 9 7" xfId="219"/>
    <cellStyle name="Accent4_2007工资拨款" xfId="220"/>
    <cellStyle name="常规 81" xfId="221"/>
    <cellStyle name="Accent5" xfId="222"/>
    <cellStyle name="常规 9 6" xfId="223"/>
    <cellStyle name="Accent5 - 40%" xfId="224"/>
    <cellStyle name="Accent5 - 60%" xfId="225"/>
    <cellStyle name="Currency0" xfId="226"/>
    <cellStyle name="常规 12" xfId="227"/>
    <cellStyle name="Accent5 - 60% 2" xfId="228"/>
    <cellStyle name="Currency0 2" xfId="229"/>
    <cellStyle name="Accent5_2007工资拨款" xfId="230"/>
    <cellStyle name="Accent6 - 20%" xfId="231"/>
    <cellStyle name="常规 2 8 2" xfId="232"/>
    <cellStyle name="Accent6 - 40%" xfId="233"/>
    <cellStyle name="常规 3 3" xfId="234"/>
    <cellStyle name="常规 5 3" xfId="235"/>
    <cellStyle name="Accent6 - 60%" xfId="236"/>
    <cellStyle name="好_2007工资拨款" xfId="237"/>
    <cellStyle name="Accent6 - 60% 2" xfId="238"/>
    <cellStyle name="Accent6_2007工资拨款" xfId="239"/>
    <cellStyle name="常规 2 2_2011年预算台帐 (20111231确定报国库)" xfId="240"/>
    <cellStyle name="常规 3_5.11财政财务划转表(协议附表)" xfId="241"/>
    <cellStyle name="常规 81 2" xfId="242"/>
    <cellStyle name="AeE­ [0]_INQUIRY ¿μ¾÷AßAø " xfId="243"/>
    <cellStyle name="常规 67" xfId="244"/>
    <cellStyle name="args.style 2" xfId="245"/>
    <cellStyle name="常规 2" xfId="246"/>
    <cellStyle name="AÞ¸¶ [0]_INQUIRY ¿?¾÷AßAø " xfId="247"/>
    <cellStyle name="Input Cells" xfId="248"/>
    <cellStyle name="Output 2" xfId="249"/>
    <cellStyle name="Bad" xfId="250"/>
    <cellStyle name="常规 2 3 2" xfId="251"/>
    <cellStyle name="常规 87" xfId="252"/>
    <cellStyle name="C?AØ_¿?¾÷CoE² " xfId="253"/>
    <cellStyle name="C￥AØ_¿μ¾÷CoE² " xfId="254"/>
    <cellStyle name="Calculation 2" xfId="255"/>
    <cellStyle name="no dec" xfId="256"/>
    <cellStyle name="Calc Currency (0)" xfId="257"/>
    <cellStyle name="Calculation" xfId="258"/>
    <cellStyle name="PSHeading" xfId="259"/>
    <cellStyle name="Check Cell" xfId="260"/>
    <cellStyle name="常规 15" xfId="261"/>
    <cellStyle name="常规 20" xfId="262"/>
    <cellStyle name="ColLevel_0" xfId="263"/>
    <cellStyle name="差_4" xfId="264"/>
    <cellStyle name="汇总 2" xfId="265"/>
    <cellStyle name="Com_x000e_ 2" xfId="266"/>
    <cellStyle name="Comma [0]_!!!GO" xfId="267"/>
    <cellStyle name="标题 3 3" xfId="268"/>
    <cellStyle name="comma zerodec" xfId="269"/>
    <cellStyle name="Comma_!!!GO" xfId="270"/>
    <cellStyle name="常规 34 2" xfId="271"/>
    <cellStyle name="Comma0" xfId="272"/>
    <cellStyle name="Comma0 2" xfId="273"/>
    <cellStyle name="常规 6 9" xfId="274"/>
    <cellStyle name="콤마_1202" xfId="275"/>
    <cellStyle name="Copied" xfId="276"/>
    <cellStyle name="Currency [0]_!!!GO" xfId="277"/>
    <cellStyle name="Currency_!!!GO" xfId="278"/>
    <cellStyle name="分级显示列_1_Book1" xfId="279"/>
    <cellStyle name="Currency1" xfId="280"/>
    <cellStyle name="常规 13" xfId="281"/>
    <cellStyle name="C轜䃞䄓_x0001_" xfId="282"/>
    <cellStyle name="常规 2 2 5" xfId="283"/>
    <cellStyle name="C轜䃞䄓_x0001_ 2" xfId="284"/>
    <cellStyle name="Moneda_96 Risk" xfId="285"/>
    <cellStyle name="Date" xfId="286"/>
    <cellStyle name="Date 2" xfId="287"/>
    <cellStyle name="常规 6 6" xfId="288"/>
    <cellStyle name="Dollar (zero dec)" xfId="289"/>
    <cellStyle name="Emphasis 2" xfId="290"/>
    <cellStyle name="常规 2 2 6 2" xfId="291"/>
    <cellStyle name="Emphasis 3" xfId="292"/>
    <cellStyle name="Fixed" xfId="293"/>
    <cellStyle name="适中 3" xfId="294"/>
    <cellStyle name="Fixed 2" xfId="295"/>
    <cellStyle name="Followed Hyperlink" xfId="296"/>
    <cellStyle name="常规 11" xfId="297"/>
    <cellStyle name="gcd" xfId="298"/>
    <cellStyle name="Good" xfId="299"/>
    <cellStyle name="PSDec 2" xfId="300"/>
    <cellStyle name="常规 10" xfId="301"/>
    <cellStyle name="Grey" xfId="302"/>
    <cellStyle name="标题 2 2" xfId="303"/>
    <cellStyle name="Grey 2" xfId="304"/>
    <cellStyle name="Header1" xfId="305"/>
    <cellStyle name="常规 3 5 2" xfId="306"/>
    <cellStyle name="好_2014年(基础)" xfId="307"/>
    <cellStyle name="Header2" xfId="308"/>
    <cellStyle name="Header2 2" xfId="309"/>
    <cellStyle name="Heading 1 2" xfId="310"/>
    <cellStyle name="HEADINGSTOP" xfId="311"/>
    <cellStyle name="常规 6 8" xfId="312"/>
    <cellStyle name="Input [yellow]" xfId="313"/>
    <cellStyle name="Input [yellow] 2" xfId="314"/>
    <cellStyle name="Jun" xfId="315"/>
    <cellStyle name="差 3" xfId="316"/>
    <cellStyle name="line" xfId="317"/>
    <cellStyle name="常规 6 2 4" xfId="318"/>
    <cellStyle name="line 2" xfId="319"/>
    <cellStyle name="Linked Cell" xfId="320"/>
    <cellStyle name="Linked Cell 2" xfId="321"/>
    <cellStyle name="Linked Cells" xfId="322"/>
    <cellStyle name="Millares [0]_96 Risk" xfId="323"/>
    <cellStyle name="Millares_96 Risk" xfId="324"/>
    <cellStyle name="常规 42 2" xfId="325"/>
    <cellStyle name="Milliers [0]_!!!GO" xfId="326"/>
    <cellStyle name="Moneda [0]_96 Risk" xfId="327"/>
    <cellStyle name="Neutral 2" xfId="328"/>
    <cellStyle name="差_Book1" xfId="329"/>
    <cellStyle name="New Times Roman" xfId="330"/>
    <cellStyle name="no dec 2" xfId="331"/>
    <cellStyle name="specstores" xfId="332"/>
    <cellStyle name="Warning Text" xfId="333"/>
    <cellStyle name="Normal - Style1" xfId="334"/>
    <cellStyle name="Normal_!!!GO" xfId="335"/>
    <cellStyle name="Note" xfId="336"/>
    <cellStyle name="常规 2 3 2 3" xfId="337"/>
    <cellStyle name="Note 2" xfId="338"/>
    <cellStyle name="Pourcentage_pldt" xfId="339"/>
    <cellStyle name="标题 5" xfId="340"/>
    <cellStyle name="常规 2 3 2 3 2" xfId="341"/>
    <cellStyle name="_x0011_omma_ᅢ" xfId="342"/>
    <cellStyle name="常规 7" xfId="343"/>
    <cellStyle name="常规 7_1-1国有公司支持全区面上产业发展资金建议表_1-1国有公司支持全区面上产业发展资金建议表(农业科）_1" xfId="344"/>
    <cellStyle name="per.style" xfId="345"/>
    <cellStyle name="PSInt" xfId="346"/>
    <cellStyle name="常规 2 4" xfId="347"/>
    <cellStyle name="常规_07年收支预算草案建议表1。4" xfId="348"/>
    <cellStyle name="per.style 2" xfId="349"/>
    <cellStyle name="PSInt 2" xfId="350"/>
    <cellStyle name="常规 2 4 2" xfId="351"/>
    <cellStyle name="常规_07年收支预算草案建议表1。4 2" xfId="352"/>
    <cellStyle name="Percent [2]" xfId="353"/>
    <cellStyle name="Percent [2] 2" xfId="354"/>
    <cellStyle name="t_HVAC Equipment (3)" xfId="355"/>
    <cellStyle name="常规 89" xfId="356"/>
    <cellStyle name="Percent_!!!GO" xfId="357"/>
    <cellStyle name="PSDate" xfId="358"/>
    <cellStyle name="PSDate 2" xfId="359"/>
    <cellStyle name="差_还本付息表(分年)" xfId="360"/>
    <cellStyle name="PSDec" xfId="361"/>
    <cellStyle name="常规 16" xfId="362"/>
    <cellStyle name="常规 21" xfId="363"/>
    <cellStyle name="PSSpacer" xfId="364"/>
    <cellStyle name="PSSpacer 2" xfId="365"/>
    <cellStyle name="输入 3" xfId="366"/>
    <cellStyle name="常规 2 9" xfId="367"/>
    <cellStyle name="regstoresfromspecstores" xfId="368"/>
    <cellStyle name="regstoresfromspecstores 2" xfId="369"/>
    <cellStyle name="RevList" xfId="370"/>
    <cellStyle name="RowLevel_0" xfId="371"/>
    <cellStyle name="SHADEDSTORES" xfId="372"/>
    <cellStyle name="SHADEDSTORES 2" xfId="373"/>
    <cellStyle name="常规 3 4" xfId="374"/>
    <cellStyle name="Sheet Title 2" xfId="375"/>
    <cellStyle name="sstot" xfId="376"/>
    <cellStyle name="常规 2 2 3 2" xfId="377"/>
    <cellStyle name="Standard_AREAS" xfId="378"/>
    <cellStyle name="Style 1" xfId="379"/>
    <cellStyle name="t" xfId="380"/>
    <cellStyle name="常规 2 6" xfId="381"/>
    <cellStyle name="Total 2" xfId="382"/>
    <cellStyle name="百分比 2" xfId="383"/>
    <cellStyle name="百分比 2 2" xfId="384"/>
    <cellStyle name="百分比 2 3" xfId="385"/>
    <cellStyle name="捠壿_Region Orders (2)" xfId="386"/>
    <cellStyle name="编号" xfId="387"/>
    <cellStyle name="标题 1 2" xfId="388"/>
    <cellStyle name="常规 2 2 6" xfId="389"/>
    <cellStyle name="标题 1 3" xfId="390"/>
    <cellStyle name="常规 2 2 7" xfId="391"/>
    <cellStyle name="标题 2 3" xfId="392"/>
    <cellStyle name="标题 3 2" xfId="393"/>
    <cellStyle name="千位分隔 3" xfId="394"/>
    <cellStyle name="标题 4 2" xfId="395"/>
    <cellStyle name="常规 2 4_2011年预算台帐 (20111231确定报国库)" xfId="396"/>
    <cellStyle name="千位分隔 4" xfId="397"/>
    <cellStyle name="标题 4 3" xfId="398"/>
    <cellStyle name="标题 6" xfId="399"/>
    <cellStyle name="标题1" xfId="400"/>
    <cellStyle name="表标题" xfId="401"/>
    <cellStyle name="表标题 2" xfId="402"/>
    <cellStyle name="差 2" xfId="403"/>
    <cellStyle name="差 2 2" xfId="404"/>
    <cellStyle name="差 2 3" xfId="405"/>
    <cellStyle name="差_2013年偿债情况表20121207" xfId="406"/>
    <cellStyle name="差_2014年(基础)" xfId="407"/>
    <cellStyle name="差_4 2" xfId="408"/>
    <cellStyle name="差_5.11财政财务划转表(协议附表)" xfId="409"/>
    <cellStyle name="差_5.11财政财务划转表(协议附表) 2" xfId="410"/>
    <cellStyle name="常规 2 2 8" xfId="411"/>
    <cellStyle name="差_Book1_1 2" xfId="412"/>
    <cellStyle name="差_MERALCO 2" xfId="413"/>
    <cellStyle name="强调文字颜色 3 2" xfId="414"/>
    <cellStyle name="差_YB200901 2" xfId="415"/>
    <cellStyle name="差_YB200901_Book1" xfId="416"/>
    <cellStyle name="差_YB200901_Book1 2" xfId="417"/>
    <cellStyle name="差_偿债压力表20111130-2012（20111130实际余额）" xfId="418"/>
    <cellStyle name="常规 3 2 3 2" xfId="419"/>
    <cellStyle name="差_公司and金融办20110920" xfId="420"/>
    <cellStyle name="常规 2 2 3" xfId="421"/>
    <cellStyle name="差_融资贷款合同清单" xfId="422"/>
    <cellStyle name="注释 3" xfId="423"/>
    <cellStyle name="常规 15_4" xfId="424"/>
    <cellStyle name="常规 6 3" xfId="425"/>
    <cellStyle name="常规 10 2" xfId="426"/>
    <cellStyle name="常规 10 2 2" xfId="427"/>
    <cellStyle name="常规 2 7" xfId="428"/>
    <cellStyle name="常规 10 3" xfId="429"/>
    <cellStyle name="常规 9_2011年预算台帐 (20111231确定报国库)" xfId="430"/>
    <cellStyle name="常规 11 2" xfId="431"/>
    <cellStyle name="常规 11_4" xfId="432"/>
    <cellStyle name="常规 2 3" xfId="433"/>
    <cellStyle name="常规 14" xfId="434"/>
    <cellStyle name="常规 15 2" xfId="435"/>
    <cellStyle name="常规 17" xfId="436"/>
    <cellStyle name="常规 22" xfId="437"/>
    <cellStyle name="分级显示行_1_Book1" xfId="438"/>
    <cellStyle name="常规 18" xfId="439"/>
    <cellStyle name="常规 23" xfId="440"/>
    <cellStyle name="常规 18 2" xfId="441"/>
    <cellStyle name="常规 19" xfId="442"/>
    <cellStyle name="常规 24" xfId="443"/>
    <cellStyle name="常规 19 2" xfId="444"/>
    <cellStyle name="常规 2 2 2" xfId="445"/>
    <cellStyle name="常规 37" xfId="446"/>
    <cellStyle name="常规 42" xfId="447"/>
    <cellStyle name="常规 2 2 3 3" xfId="448"/>
    <cellStyle name="常规 2 2 3_4" xfId="449"/>
    <cellStyle name="汇总 3" xfId="450"/>
    <cellStyle name="常规 2 2 7 2" xfId="451"/>
    <cellStyle name="常规 2 3 2 2" xfId="452"/>
    <cellStyle name="常规 87 2" xfId="453"/>
    <cellStyle name="常规 2 3 2 2 2" xfId="454"/>
    <cellStyle name="常规 2 3 3" xfId="455"/>
    <cellStyle name="常规 2 4 3" xfId="456"/>
    <cellStyle name="常规 2 5 2" xfId="457"/>
    <cellStyle name="常规 2_2011年预算台帐 (20111231确定报国库)" xfId="458"/>
    <cellStyle name="常规 2 6 2" xfId="459"/>
    <cellStyle name="输入 2" xfId="460"/>
    <cellStyle name="常规 2 8" xfId="461"/>
    <cellStyle name="常规 22 2" xfId="462"/>
    <cellStyle name="常规 55" xfId="463"/>
    <cellStyle name="常规 25" xfId="464"/>
    <cellStyle name="常规 30" xfId="465"/>
    <cellStyle name="常规 27" xfId="466"/>
    <cellStyle name="常规 32" xfId="467"/>
    <cellStyle name="常规 28" xfId="468"/>
    <cellStyle name="常规 33" xfId="469"/>
    <cellStyle name="常规 57 2" xfId="470"/>
    <cellStyle name="常规 29" xfId="471"/>
    <cellStyle name="常规 34" xfId="472"/>
    <cellStyle name="常规 3 2" xfId="473"/>
    <cellStyle name="常规 3 2 2 2" xfId="474"/>
    <cellStyle name="常规 3 2_2011年预算台帐 (20111231确定报国库)" xfId="475"/>
    <cellStyle name="常规 3 7 2" xfId="476"/>
    <cellStyle name="常规 3 3 2" xfId="477"/>
    <cellStyle name="常规 3 4 2" xfId="478"/>
    <cellStyle name="常规 3 5" xfId="479"/>
    <cellStyle name="常规 3 6" xfId="480"/>
    <cellStyle name="常规 3 6 2" xfId="481"/>
    <cellStyle name="常规 3 7" xfId="482"/>
    <cellStyle name="常规 35" xfId="483"/>
    <cellStyle name="常规 40" xfId="484"/>
    <cellStyle name="常规 35 2" xfId="485"/>
    <cellStyle name="常规 40 2" xfId="486"/>
    <cellStyle name="常规 4 2" xfId="487"/>
    <cellStyle name="常规 4 3" xfId="488"/>
    <cellStyle name="常规 5 4" xfId="489"/>
    <cellStyle name="常规 55 2" xfId="490"/>
    <cellStyle name="常规 6 2 8" xfId="491"/>
    <cellStyle name="常规 57" xfId="492"/>
    <cellStyle name="常规 62" xfId="493"/>
    <cellStyle name="常规 6 2" xfId="494"/>
    <cellStyle name="常规 6 2 2" xfId="495"/>
    <cellStyle name="常规 6 2 5" xfId="496"/>
    <cellStyle name="常规 6 2 6" xfId="497"/>
    <cellStyle name="常规 6 3 2" xfId="498"/>
    <cellStyle name="常规 6 4" xfId="499"/>
    <cellStyle name="常规 6_5.11财政财务划转表(协议附表)" xfId="500"/>
    <cellStyle name="常规 65" xfId="501"/>
    <cellStyle name="常规 65 2" xfId="502"/>
    <cellStyle name="常规 67 2" xfId="503"/>
    <cellStyle name="常规 7 2" xfId="504"/>
    <cellStyle name="常规 7 2 2" xfId="505"/>
    <cellStyle name="常规 7 3 2" xfId="506"/>
    <cellStyle name="常规 7 4" xfId="507"/>
    <cellStyle name="常规 7 5" xfId="508"/>
    <cellStyle name="常规 7 8" xfId="509"/>
    <cellStyle name="常规 7 9" xfId="510"/>
    <cellStyle name="常规 8" xfId="511"/>
    <cellStyle name="常规 8 4" xfId="512"/>
    <cellStyle name="常规 8 5" xfId="513"/>
    <cellStyle name="常规 8 6" xfId="514"/>
    <cellStyle name="常规 83" xfId="515"/>
    <cellStyle name="常规 89 2" xfId="516"/>
    <cellStyle name="常规 9" xfId="517"/>
    <cellStyle name="常规_06年快报及07年草案（常委会报告明细表决算后改）" xfId="518"/>
    <cellStyle name="常规_老口径收入执行" xfId="519"/>
    <cellStyle name="好 2" xfId="520"/>
    <cellStyle name="好 3" xfId="521"/>
    <cellStyle name="好_2007工资拨款_收支测算表11.19" xfId="522"/>
    <cellStyle name="好_2013年偿债情况表20121207" xfId="523"/>
    <cellStyle name="好_2015年(基础)" xfId="524"/>
    <cellStyle name="好_2016年(基础)" xfId="525"/>
    <cellStyle name="好_5.11财政财务划转表(协议附表)" xfId="526"/>
    <cellStyle name="好_Book1" xfId="527"/>
    <cellStyle name="好_Book1_1" xfId="528"/>
    <cellStyle name="好_MERALCO" xfId="529"/>
    <cellStyle name="好_YB200901" xfId="530"/>
    <cellStyle name="好_YB200901_Book1" xfId="531"/>
    <cellStyle name="好_偿债压力表20111130-2012（20111130实际余额）" xfId="532"/>
    <cellStyle name="好_分年偿债情况统计表" xfId="533"/>
    <cellStyle name="好_分年偿债情况统计表H" xfId="534"/>
    <cellStyle name="好_公司and金融办20110920" xfId="535"/>
    <cellStyle name="好_还本付息表(分年)" xfId="536"/>
    <cellStyle name="好_融资贷款合同清单" xfId="537"/>
    <cellStyle name="貨幣 [0]_DDC Panel Order form" xfId="538"/>
    <cellStyle name="貨幣_DDC Panel Order form" xfId="539"/>
    <cellStyle name="计算 2" xfId="540"/>
    <cellStyle name="计算 3" xfId="541"/>
    <cellStyle name="检查单元格 2" xfId="542"/>
    <cellStyle name="检查单元格 3" xfId="543"/>
    <cellStyle name="解释性文本 2" xfId="544"/>
    <cellStyle name="解释性文本 3" xfId="545"/>
    <cellStyle name="借出原因" xfId="546"/>
    <cellStyle name="警告文本 2" xfId="547"/>
    <cellStyle name="警告文本 3" xfId="548"/>
    <cellStyle name="链接单元格 2" xfId="549"/>
    <cellStyle name="链接单元格 3" xfId="550"/>
    <cellStyle name="뷭?_BOOKSHIP" xfId="551"/>
    <cellStyle name="霓付 [0]_97MBO" xfId="552"/>
    <cellStyle name="霓付_97MBO" xfId="553"/>
    <cellStyle name="똿뗦먛귟 [0.00]_PRODUCT DETAIL Q1" xfId="554"/>
    <cellStyle name="强调 1" xfId="555"/>
    <cellStyle name="똿뗦먛귟_PRODUCT DETAIL Q1" xfId="556"/>
    <cellStyle name="烹拳 [0]_97MBO" xfId="557"/>
    <cellStyle name="烹拳_97MBO" xfId="558"/>
    <cellStyle name="普通_ 白土" xfId="559"/>
    <cellStyle name="千分位[0]_ 白土" xfId="560"/>
    <cellStyle name="千分位_ 白土" xfId="561"/>
    <cellStyle name="千位[0]_ 方正PC" xfId="562"/>
    <cellStyle name="千位_ 方正PC" xfId="563"/>
    <cellStyle name="千位分隔 2" xfId="564"/>
    <cellStyle name="千位分隔 2 2" xfId="565"/>
    <cellStyle name="千位分隔 2 3" xfId="566"/>
    <cellStyle name="千位分隔 3 2" xfId="567"/>
    <cellStyle name="千位分隔 4 2" xfId="568"/>
    <cellStyle name="千位分隔 5" xfId="569"/>
    <cellStyle name="千位分隔[0] 2" xfId="570"/>
    <cellStyle name="千位分隔[0] 2 2" xfId="571"/>
    <cellStyle name="千位分隔[0] 2 2 2" xfId="572"/>
    <cellStyle name="千位分隔[0] 2 3" xfId="573"/>
    <cellStyle name="千位分隔[0] 2 3 2" xfId="574"/>
    <cellStyle name="千位分隔[0] 2 4" xfId="575"/>
    <cellStyle name="千位分隔[0] 3" xfId="576"/>
    <cellStyle name="千位分隔[0] 4" xfId="577"/>
    <cellStyle name="千位分隔[0] 4 2" xfId="578"/>
    <cellStyle name="千位分隔[0] 5" xfId="579"/>
    <cellStyle name="千位分隔[0] 5 2" xfId="580"/>
    <cellStyle name="千位分隔[0] 6" xfId="581"/>
    <cellStyle name="千位分隔[0] 6 2" xfId="582"/>
    <cellStyle name="千位分隔[0] 7" xfId="583"/>
    <cellStyle name="千位分隔[0] 8" xfId="584"/>
    <cellStyle name="千位分隔[0] 9" xfId="585"/>
    <cellStyle name="钎霖_laroux" xfId="586"/>
    <cellStyle name="强调 2" xfId="587"/>
    <cellStyle name="强调 3" xfId="588"/>
    <cellStyle name="强调文字颜色 1 2" xfId="589"/>
    <cellStyle name="强调文字颜色 1 3" xfId="590"/>
    <cellStyle name="强调文字颜色 2 2" xfId="591"/>
    <cellStyle name="强调文字颜色 2 3" xfId="592"/>
    <cellStyle name="强调文字颜色 3 3" xfId="593"/>
    <cellStyle name="强调文字颜色 4 2" xfId="594"/>
    <cellStyle name="强调文字颜色 4 3" xfId="595"/>
    <cellStyle name="强调文字颜色 5 2" xfId="596"/>
    <cellStyle name="强调文字颜色 5 3" xfId="597"/>
    <cellStyle name="强调文字颜色 6 2" xfId="598"/>
    <cellStyle name="强调文字颜色 6 3" xfId="599"/>
    <cellStyle name="日期" xfId="600"/>
    <cellStyle name="商品名称" xfId="601"/>
    <cellStyle name="适中 2" xfId="602"/>
    <cellStyle name="输出 2" xfId="603"/>
    <cellStyle name="输出 3" xfId="604"/>
    <cellStyle name="数量" xfId="605"/>
    <cellStyle name="未定义" xfId="606"/>
    <cellStyle name="样式 1" xfId="607"/>
    <cellStyle name="一般_EUitemdb-imp2c-add" xfId="608"/>
    <cellStyle name="믅됞 [0.00]_PRODUCT DETAIL Q1" xfId="609"/>
    <cellStyle name="믅됞_PRODUCT DETAIL Q1" xfId="610"/>
    <cellStyle name="백분율_HOBONG" xfId="611"/>
    <cellStyle name="昗弨_Pacific Region P&amp;L" xfId="612"/>
    <cellStyle name="寘嬫愗傝 [0.00]_Region Orders (2)" xfId="613"/>
    <cellStyle name="寘嬫愗傝_Region Orders (2)" xfId="614"/>
    <cellStyle name="注释 2" xfId="615"/>
    <cellStyle name="콤마 [0]_1202" xfId="616"/>
    <cellStyle name="통화 [0]_1202" xfId="617"/>
    <cellStyle name="통화_1202" xfId="618"/>
    <cellStyle name="표준_(정보부문)월별인원계획" xfId="619"/>
  </cellStyles>
  <tableStyles count="0" defaultTableStyle="TableStyleMedium9" defaultPivotStyle="PivotStyleLight16"/>
  <colors>
    <mruColors>
      <color rgb="00FFFF00"/>
      <color rgb="00FF0000"/>
      <color rgb="0000B0F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6" tint="0.799768059327982"/>
    <pageSetUpPr fitToPage="1"/>
  </sheetPr>
  <dimension ref="A1:V39"/>
  <sheetViews>
    <sheetView showGridLines="0" showZeros="0" tabSelected="1" workbookViewId="0">
      <pane xSplit="1" ySplit="4" topLeftCell="D5" activePane="bottomRight" state="frozen"/>
      <selection/>
      <selection pane="topRight"/>
      <selection pane="bottomLeft"/>
      <selection pane="bottomRight" activeCell="O31" sqref="O31"/>
    </sheetView>
  </sheetViews>
  <sheetFormatPr defaultColWidth="9" defaultRowHeight="14.25"/>
  <cols>
    <col min="1" max="1" width="30.625" style="204" customWidth="1"/>
    <col min="2" max="2" width="15.625" style="204" hidden="1" customWidth="1"/>
    <col min="3" max="3" width="1.5" style="204" hidden="1" customWidth="1"/>
    <col min="4" max="4" width="15.625" style="204" customWidth="1"/>
    <col min="5" max="5" width="1.5" style="204" customWidth="1"/>
    <col min="6" max="6" width="15.625" style="204" customWidth="1"/>
    <col min="7" max="7" width="12.625" style="204" hidden="1" customWidth="1"/>
    <col min="8" max="8" width="12.625" style="205" hidden="1" customWidth="1"/>
    <col min="9" max="9" width="1.625" style="205" customWidth="1"/>
    <col min="10" max="10" width="15.625" style="205" customWidth="1"/>
    <col min="11" max="12" width="12.625" style="205" hidden="1" customWidth="1"/>
    <col min="13" max="13" width="1.625" style="205" customWidth="1"/>
    <col min="14" max="14" width="12.625" style="205" hidden="1" customWidth="1"/>
    <col min="15" max="17" width="15.625" style="205" customWidth="1"/>
    <col min="18" max="18" width="9" style="204"/>
    <col min="19" max="20" width="10.75" style="204" customWidth="1"/>
    <col min="21" max="16384" width="9" style="204"/>
  </cols>
  <sheetData>
    <row r="1" ht="20.1" customHeight="1" spans="1:17">
      <c r="A1" s="206" t="s">
        <v>0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</row>
    <row r="2" s="201" customFormat="1" ht="15" customHeight="1" spans="1:17">
      <c r="A2" s="164" t="s">
        <v>1</v>
      </c>
      <c r="B2" s="207"/>
      <c r="H2" s="208"/>
      <c r="I2" s="208"/>
      <c r="J2" s="208"/>
      <c r="K2" s="208"/>
      <c r="L2" s="208"/>
      <c r="M2" s="208"/>
      <c r="N2" s="208"/>
      <c r="O2" s="208"/>
      <c r="P2" s="208"/>
      <c r="Q2" s="208" t="s">
        <v>2</v>
      </c>
    </row>
    <row r="3" ht="20.1" customHeight="1" spans="1:17">
      <c r="A3" s="209" t="s">
        <v>3</v>
      </c>
      <c r="B3" s="210" t="s">
        <v>4</v>
      </c>
      <c r="C3" s="211"/>
      <c r="D3" s="212" t="s">
        <v>5</v>
      </c>
      <c r="E3" s="213"/>
      <c r="F3" s="214" t="s">
        <v>6</v>
      </c>
      <c r="G3" s="215"/>
      <c r="H3" s="216"/>
      <c r="I3" s="213"/>
      <c r="J3" s="214" t="s">
        <v>7</v>
      </c>
      <c r="K3" s="215"/>
      <c r="L3" s="216"/>
      <c r="M3" s="214"/>
      <c r="O3" s="254" t="s">
        <v>8</v>
      </c>
      <c r="P3" s="255"/>
      <c r="Q3" s="270"/>
    </row>
    <row r="4" ht="20.1" customHeight="1" spans="1:17">
      <c r="A4" s="217"/>
      <c r="B4" s="218"/>
      <c r="C4" s="219"/>
      <c r="D4" s="220"/>
      <c r="E4" s="221"/>
      <c r="F4" s="222"/>
      <c r="G4" s="223"/>
      <c r="H4" s="224"/>
      <c r="I4" s="221"/>
      <c r="J4" s="222"/>
      <c r="K4" s="223"/>
      <c r="L4" s="224"/>
      <c r="M4" s="256"/>
      <c r="N4" s="257" t="s">
        <v>9</v>
      </c>
      <c r="O4" s="257" t="s">
        <v>10</v>
      </c>
      <c r="P4" s="258" t="s">
        <v>11</v>
      </c>
      <c r="Q4" s="257" t="s">
        <v>12</v>
      </c>
    </row>
    <row r="5" s="202" customFormat="1" ht="20.1" customHeight="1" spans="1:20">
      <c r="A5" s="225" t="s">
        <v>13</v>
      </c>
      <c r="B5" s="226">
        <f>SUM(B6:B7)</f>
        <v>214304</v>
      </c>
      <c r="C5" s="219"/>
      <c r="D5" s="227">
        <f>SUM(D6:D7)</f>
        <v>201667.74</v>
      </c>
      <c r="E5" s="221"/>
      <c r="F5" s="228">
        <f>SUM(F6:F7)</f>
        <v>204489</v>
      </c>
      <c r="G5" s="229">
        <f>F5-D5</f>
        <v>2821.26000000001</v>
      </c>
      <c r="H5" s="230">
        <f>(F5/D5-1)*100</f>
        <v>1.39896445509828</v>
      </c>
      <c r="I5" s="221"/>
      <c r="J5" s="228">
        <f>SUM(J6:J7)</f>
        <v>204524</v>
      </c>
      <c r="K5" s="229">
        <f>J5-D5</f>
        <v>2856.26000000001</v>
      </c>
      <c r="L5" s="230">
        <f>(J5/D5-1)*100</f>
        <v>1.41631973462886</v>
      </c>
      <c r="M5" s="256"/>
      <c r="N5" s="259">
        <f>SUM(N6:N7)</f>
        <v>303162.948717949</v>
      </c>
      <c r="O5" s="260">
        <f>SUM(O6:O7)</f>
        <v>216040</v>
      </c>
      <c r="P5" s="261">
        <f>O5-J5</f>
        <v>11516</v>
      </c>
      <c r="Q5" s="230">
        <f>P5/J5*100</f>
        <v>5.63063503549706</v>
      </c>
      <c r="S5" s="271"/>
      <c r="T5" s="272"/>
    </row>
    <row r="6" s="202" customFormat="1" ht="20.1" customHeight="1" spans="1:22">
      <c r="A6" s="231" t="s">
        <v>14</v>
      </c>
      <c r="B6" s="226">
        <f>SUM(B9,B10:B21)</f>
        <v>140915</v>
      </c>
      <c r="C6" s="219"/>
      <c r="D6" s="232">
        <f>SUM(D9,D10:D21)</f>
        <v>143830</v>
      </c>
      <c r="E6" s="221"/>
      <c r="F6" s="229">
        <f>SUM(F9,F10:F21)</f>
        <v>130208</v>
      </c>
      <c r="G6" s="229">
        <f>F6-D6</f>
        <v>-13622</v>
      </c>
      <c r="H6" s="233">
        <f>(F6/D6-1)*100</f>
        <v>-9.47090314955156</v>
      </c>
      <c r="I6" s="221"/>
      <c r="J6" s="229">
        <f>SUM(J9,J10:J21)</f>
        <v>130235</v>
      </c>
      <c r="K6" s="229">
        <f t="shared" ref="K6:K39" si="0">J6-D6</f>
        <v>-13595</v>
      </c>
      <c r="L6" s="233">
        <f t="shared" ref="L6:L39" si="1">(J6/D6-1)*100</f>
        <v>-9.45213098797191</v>
      </c>
      <c r="M6" s="256"/>
      <c r="N6" s="262">
        <f>SUM(N9,N10:N21)</f>
        <v>224317.948717949</v>
      </c>
      <c r="O6" s="263">
        <f>SUM(O9,O10:O21)</f>
        <v>138020</v>
      </c>
      <c r="P6" s="229">
        <f t="shared" ref="P6:P39" si="2">O6-J6</f>
        <v>7785</v>
      </c>
      <c r="Q6" s="233">
        <f t="shared" ref="Q6:Q39" si="3">P6/J6*100</f>
        <v>5.97765577609706</v>
      </c>
      <c r="S6" s="271"/>
      <c r="T6" s="272"/>
      <c r="V6" s="271"/>
    </row>
    <row r="7" s="202" customFormat="1" ht="20.1" customHeight="1" spans="1:20">
      <c r="A7" s="231" t="s">
        <v>15</v>
      </c>
      <c r="B7" s="234">
        <f>SUM(B22:B24)</f>
        <v>73389</v>
      </c>
      <c r="C7" s="219"/>
      <c r="D7" s="232">
        <f>SUM(D22:D24)</f>
        <v>57837.74</v>
      </c>
      <c r="E7" s="221"/>
      <c r="F7" s="229">
        <f>SUM(F22:F24)</f>
        <v>74281</v>
      </c>
      <c r="G7" s="229">
        <f>F7-D7</f>
        <v>16443.26</v>
      </c>
      <c r="H7" s="233">
        <f>(F7/D7-1)*100</f>
        <v>28.4299836058601</v>
      </c>
      <c r="I7" s="221"/>
      <c r="J7" s="229">
        <f>SUM(J22:J24)</f>
        <v>74289</v>
      </c>
      <c r="K7" s="229">
        <f t="shared" si="0"/>
        <v>16451.26</v>
      </c>
      <c r="L7" s="233">
        <f t="shared" si="1"/>
        <v>28.4438154049588</v>
      </c>
      <c r="M7" s="256"/>
      <c r="N7" s="262">
        <f>SUM(N22:N24)</f>
        <v>78845</v>
      </c>
      <c r="O7" s="263">
        <f>SUM(O22:O24)</f>
        <v>78020</v>
      </c>
      <c r="P7" s="229">
        <f t="shared" si="2"/>
        <v>3731</v>
      </c>
      <c r="Q7" s="233">
        <f t="shared" si="3"/>
        <v>5.02227786078693</v>
      </c>
      <c r="S7" s="271"/>
      <c r="T7" s="272"/>
    </row>
    <row r="8" s="202" customFormat="1" ht="20.1" customHeight="1" spans="1:17">
      <c r="A8" s="235" t="s">
        <v>16</v>
      </c>
      <c r="B8" s="226">
        <f>SUM(B9,B10:B18,B19:B23)</f>
        <v>147002</v>
      </c>
      <c r="C8" s="219"/>
      <c r="D8" s="232">
        <f>SUM(D9,D10:D18,D19:D23)</f>
        <v>149688.34</v>
      </c>
      <c r="E8" s="221"/>
      <c r="F8" s="229">
        <f>SUM(F9,F10:F18,F19:F23)</f>
        <v>135208</v>
      </c>
      <c r="G8" s="229">
        <f>F8-D8</f>
        <v>-14480.34</v>
      </c>
      <c r="H8" s="233">
        <f>(F8/D8-1)*100</f>
        <v>-9.6736592843504</v>
      </c>
      <c r="I8" s="221"/>
      <c r="J8" s="229">
        <f>SUM(J9,J10:J18,J19:J23)</f>
        <v>135649</v>
      </c>
      <c r="K8" s="229">
        <f t="shared" si="0"/>
        <v>-14039.34</v>
      </c>
      <c r="L8" s="233">
        <f t="shared" si="1"/>
        <v>-9.37904715891699</v>
      </c>
      <c r="M8" s="256"/>
      <c r="N8" s="264">
        <f>SUM(N9,N10:N18,N19:N23)</f>
        <v>230042.948717949</v>
      </c>
      <c r="O8" s="265">
        <f>SUM(O9,O10:O18,O19:O23)</f>
        <v>143120</v>
      </c>
      <c r="P8" s="229">
        <f t="shared" si="2"/>
        <v>7471</v>
      </c>
      <c r="Q8" s="233">
        <f t="shared" si="3"/>
        <v>5.50759681236132</v>
      </c>
    </row>
    <row r="9" ht="20.1" customHeight="1" spans="1:17">
      <c r="A9" s="236" t="s">
        <v>17</v>
      </c>
      <c r="B9" s="237">
        <v>38303</v>
      </c>
      <c r="C9" s="219"/>
      <c r="D9" s="238">
        <v>38770</v>
      </c>
      <c r="E9" s="221"/>
      <c r="F9" s="239">
        <f>32050</f>
        <v>32050</v>
      </c>
      <c r="G9" s="239">
        <f>F9-D9</f>
        <v>-6720</v>
      </c>
      <c r="H9" s="240">
        <f>(F9/D9-1)*100</f>
        <v>-17.332989424813</v>
      </c>
      <c r="I9" s="221"/>
      <c r="J9" s="239">
        <v>33557</v>
      </c>
      <c r="K9" s="239">
        <f t="shared" si="0"/>
        <v>-5213</v>
      </c>
      <c r="L9" s="240">
        <f t="shared" si="1"/>
        <v>-13.4459633737426</v>
      </c>
      <c r="M9" s="256"/>
      <c r="N9" s="266">
        <f>O9/0.325</f>
        <v>100984.615384615</v>
      </c>
      <c r="O9" s="267">
        <f>31500+1320</f>
        <v>32820</v>
      </c>
      <c r="P9" s="239">
        <f t="shared" si="2"/>
        <v>-737</v>
      </c>
      <c r="Q9" s="240">
        <f t="shared" si="3"/>
        <v>-2.1962630747683</v>
      </c>
    </row>
    <row r="10" ht="20.1" customHeight="1" spans="1:17">
      <c r="A10" s="236" t="s">
        <v>18</v>
      </c>
      <c r="B10" s="237">
        <v>131</v>
      </c>
      <c r="C10" s="219"/>
      <c r="D10" s="238">
        <v>88</v>
      </c>
      <c r="E10" s="221"/>
      <c r="F10" s="239">
        <v>-250</v>
      </c>
      <c r="G10" s="239"/>
      <c r="H10" s="240"/>
      <c r="I10" s="221"/>
      <c r="J10" s="239">
        <v>-160</v>
      </c>
      <c r="K10" s="239">
        <f t="shared" si="0"/>
        <v>-248</v>
      </c>
      <c r="L10" s="240">
        <f t="shared" si="1"/>
        <v>-281.818181818182</v>
      </c>
      <c r="M10" s="256"/>
      <c r="N10" s="266">
        <f t="shared" ref="N10" si="4">O10/0.325</f>
        <v>0</v>
      </c>
      <c r="O10" s="267"/>
      <c r="P10" s="239">
        <f t="shared" si="2"/>
        <v>160</v>
      </c>
      <c r="Q10" s="240">
        <f t="shared" si="3"/>
        <v>-100</v>
      </c>
    </row>
    <row r="11" ht="20.1" customHeight="1" spans="1:17">
      <c r="A11" s="236" t="s">
        <v>19</v>
      </c>
      <c r="B11" s="237">
        <v>9379</v>
      </c>
      <c r="C11" s="219"/>
      <c r="D11" s="238">
        <v>10093</v>
      </c>
      <c r="E11" s="221"/>
      <c r="F11" s="239">
        <v>8742</v>
      </c>
      <c r="G11" s="239">
        <f t="shared" ref="G11:G39" si="5">F11-D11</f>
        <v>-1351</v>
      </c>
      <c r="H11" s="240">
        <f t="shared" ref="H11:H39" si="6">(F11/D11-1)*100</f>
        <v>-13.3855147131675</v>
      </c>
      <c r="I11" s="221"/>
      <c r="J11" s="239">
        <v>8583</v>
      </c>
      <c r="K11" s="239">
        <f t="shared" si="0"/>
        <v>-1510</v>
      </c>
      <c r="L11" s="240">
        <f t="shared" si="1"/>
        <v>-14.9608639651243</v>
      </c>
      <c r="M11" s="256"/>
      <c r="N11" s="266">
        <f>O11/0.4</f>
        <v>17000</v>
      </c>
      <c r="O11" s="267">
        <v>6800</v>
      </c>
      <c r="P11" s="239">
        <f t="shared" si="2"/>
        <v>-1783</v>
      </c>
      <c r="Q11" s="240">
        <f t="shared" si="3"/>
        <v>-20.7736222765933</v>
      </c>
    </row>
    <row r="12" ht="20.1" customHeight="1" spans="1:17">
      <c r="A12" s="236" t="s">
        <v>20</v>
      </c>
      <c r="B12" s="237">
        <v>3748</v>
      </c>
      <c r="C12" s="219"/>
      <c r="D12" s="238">
        <v>2450</v>
      </c>
      <c r="E12" s="221"/>
      <c r="F12" s="239">
        <v>2609</v>
      </c>
      <c r="G12" s="239">
        <f t="shared" si="5"/>
        <v>159</v>
      </c>
      <c r="H12" s="240">
        <f t="shared" si="6"/>
        <v>6.48979591836734</v>
      </c>
      <c r="I12" s="221"/>
      <c r="J12" s="239">
        <v>2799</v>
      </c>
      <c r="K12" s="239">
        <f t="shared" si="0"/>
        <v>349</v>
      </c>
      <c r="L12" s="240">
        <f t="shared" si="1"/>
        <v>14.2448979591837</v>
      </c>
      <c r="M12" s="256"/>
      <c r="N12" s="266">
        <f>O12/0.24</f>
        <v>8333.33333333333</v>
      </c>
      <c r="O12" s="267">
        <v>2000</v>
      </c>
      <c r="P12" s="239">
        <f t="shared" si="2"/>
        <v>-799</v>
      </c>
      <c r="Q12" s="240">
        <f t="shared" si="3"/>
        <v>-28.5459092533048</v>
      </c>
    </row>
    <row r="13" ht="20.1" customHeight="1" spans="1:17">
      <c r="A13" s="236" t="s">
        <v>21</v>
      </c>
      <c r="B13" s="237">
        <v>6368</v>
      </c>
      <c r="C13" s="219"/>
      <c r="D13" s="238">
        <v>7603</v>
      </c>
      <c r="E13" s="221"/>
      <c r="F13" s="239">
        <v>5810</v>
      </c>
      <c r="G13" s="239">
        <f t="shared" si="5"/>
        <v>-1793</v>
      </c>
      <c r="H13" s="240">
        <f t="shared" si="6"/>
        <v>-23.5827962646324</v>
      </c>
      <c r="I13" s="221"/>
      <c r="J13" s="239">
        <v>5741</v>
      </c>
      <c r="K13" s="239">
        <f t="shared" si="0"/>
        <v>-1862</v>
      </c>
      <c r="L13" s="240">
        <f t="shared" si="1"/>
        <v>-24.4903327633829</v>
      </c>
      <c r="M13" s="256"/>
      <c r="N13" s="266">
        <f>O13</f>
        <v>7200</v>
      </c>
      <c r="O13" s="267">
        <v>7200</v>
      </c>
      <c r="P13" s="239">
        <f t="shared" si="2"/>
        <v>1459</v>
      </c>
      <c r="Q13" s="240">
        <f t="shared" si="3"/>
        <v>25.4136909946002</v>
      </c>
    </row>
    <row r="14" ht="20.1" customHeight="1" spans="1:17">
      <c r="A14" s="241" t="s">
        <v>22</v>
      </c>
      <c r="B14" s="237">
        <v>9491</v>
      </c>
      <c r="C14" s="219"/>
      <c r="D14" s="238">
        <v>9421</v>
      </c>
      <c r="E14" s="221"/>
      <c r="F14" s="239">
        <v>7910</v>
      </c>
      <c r="G14" s="239">
        <f t="shared" si="5"/>
        <v>-1511</v>
      </c>
      <c r="H14" s="240">
        <f t="shared" si="6"/>
        <v>-16.038637087358</v>
      </c>
      <c r="I14" s="221"/>
      <c r="J14" s="239">
        <v>8713</v>
      </c>
      <c r="K14" s="239">
        <f t="shared" si="0"/>
        <v>-708</v>
      </c>
      <c r="L14" s="240">
        <f t="shared" si="1"/>
        <v>-7.5151257828256</v>
      </c>
      <c r="M14" s="256"/>
      <c r="N14" s="266">
        <f t="shared" ref="N14:N20" si="7">O14</f>
        <v>7400</v>
      </c>
      <c r="O14" s="267">
        <v>7400</v>
      </c>
      <c r="P14" s="239">
        <f t="shared" si="2"/>
        <v>-1313</v>
      </c>
      <c r="Q14" s="240">
        <f t="shared" si="3"/>
        <v>-15.0694364742339</v>
      </c>
    </row>
    <row r="15" ht="20.1" customHeight="1" spans="1:17">
      <c r="A15" s="241" t="s">
        <v>23</v>
      </c>
      <c r="B15" s="237">
        <v>8010</v>
      </c>
      <c r="C15" s="219"/>
      <c r="D15" s="238">
        <v>7336</v>
      </c>
      <c r="E15" s="221"/>
      <c r="F15" s="239">
        <v>6070</v>
      </c>
      <c r="G15" s="239">
        <f t="shared" si="5"/>
        <v>-1266</v>
      </c>
      <c r="H15" s="240">
        <f t="shared" si="6"/>
        <v>-17.257360959651</v>
      </c>
      <c r="I15" s="221"/>
      <c r="J15" s="239">
        <v>6863</v>
      </c>
      <c r="K15" s="239">
        <f t="shared" si="0"/>
        <v>-473</v>
      </c>
      <c r="L15" s="240">
        <f t="shared" si="1"/>
        <v>-6.44765539803708</v>
      </c>
      <c r="M15" s="256"/>
      <c r="N15" s="266">
        <f t="shared" si="7"/>
        <v>7000</v>
      </c>
      <c r="O15" s="267">
        <v>7000</v>
      </c>
      <c r="P15" s="239">
        <f t="shared" si="2"/>
        <v>137</v>
      </c>
      <c r="Q15" s="240">
        <f t="shared" si="3"/>
        <v>1.99621156928457</v>
      </c>
    </row>
    <row r="16" ht="20.1" customHeight="1" spans="1:17">
      <c r="A16" s="241" t="s">
        <v>24</v>
      </c>
      <c r="B16" s="237">
        <v>2693</v>
      </c>
      <c r="C16" s="219"/>
      <c r="D16" s="238">
        <v>2863</v>
      </c>
      <c r="E16" s="221"/>
      <c r="F16" s="239">
        <v>1840</v>
      </c>
      <c r="G16" s="239">
        <f t="shared" si="5"/>
        <v>-1023</v>
      </c>
      <c r="H16" s="240">
        <f t="shared" si="6"/>
        <v>-35.731749912679</v>
      </c>
      <c r="I16" s="221"/>
      <c r="J16" s="239">
        <v>2044</v>
      </c>
      <c r="K16" s="239">
        <f t="shared" si="0"/>
        <v>-819</v>
      </c>
      <c r="L16" s="240">
        <f t="shared" si="1"/>
        <v>-28.6063569682152</v>
      </c>
      <c r="M16" s="256"/>
      <c r="N16" s="266">
        <f t="shared" si="7"/>
        <v>2500</v>
      </c>
      <c r="O16" s="267">
        <v>2500</v>
      </c>
      <c r="P16" s="239">
        <f t="shared" si="2"/>
        <v>456</v>
      </c>
      <c r="Q16" s="240">
        <f t="shared" si="3"/>
        <v>22.3091976516634</v>
      </c>
    </row>
    <row r="17" ht="20.1" customHeight="1" spans="1:17">
      <c r="A17" s="236" t="s">
        <v>25</v>
      </c>
      <c r="B17" s="237">
        <v>23188</v>
      </c>
      <c r="C17" s="219"/>
      <c r="D17" s="238">
        <v>15817</v>
      </c>
      <c r="E17" s="221"/>
      <c r="F17" s="239">
        <v>14970</v>
      </c>
      <c r="G17" s="239">
        <f t="shared" si="5"/>
        <v>-847</v>
      </c>
      <c r="H17" s="240">
        <f t="shared" si="6"/>
        <v>-5.354997787191</v>
      </c>
      <c r="I17" s="221"/>
      <c r="J17" s="239">
        <v>15878</v>
      </c>
      <c r="K17" s="239">
        <f t="shared" si="0"/>
        <v>61</v>
      </c>
      <c r="L17" s="240">
        <f t="shared" si="1"/>
        <v>0.385660997660753</v>
      </c>
      <c r="M17" s="256"/>
      <c r="N17" s="266">
        <f t="shared" si="7"/>
        <v>16000</v>
      </c>
      <c r="O17" s="267">
        <v>16000</v>
      </c>
      <c r="P17" s="239">
        <f t="shared" si="2"/>
        <v>122</v>
      </c>
      <c r="Q17" s="240">
        <f t="shared" si="3"/>
        <v>0.768358735357098</v>
      </c>
    </row>
    <row r="18" ht="20.1" customHeight="1" spans="1:17">
      <c r="A18" s="236" t="s">
        <v>26</v>
      </c>
      <c r="B18" s="237">
        <v>10028</v>
      </c>
      <c r="C18" s="219"/>
      <c r="D18" s="238">
        <v>12038</v>
      </c>
      <c r="E18" s="221"/>
      <c r="F18" s="239">
        <v>10520</v>
      </c>
      <c r="G18" s="239">
        <f t="shared" si="5"/>
        <v>-1518</v>
      </c>
      <c r="H18" s="240">
        <f t="shared" si="6"/>
        <v>-12.6100681176275</v>
      </c>
      <c r="I18" s="221"/>
      <c r="J18" s="239">
        <v>11688</v>
      </c>
      <c r="K18" s="239">
        <f t="shared" si="0"/>
        <v>-350</v>
      </c>
      <c r="L18" s="240">
        <f t="shared" si="1"/>
        <v>-2.90745971091544</v>
      </c>
      <c r="M18" s="256"/>
      <c r="N18" s="266">
        <f t="shared" si="7"/>
        <v>25200</v>
      </c>
      <c r="O18" s="267">
        <v>25200</v>
      </c>
      <c r="P18" s="239">
        <f t="shared" si="2"/>
        <v>13512</v>
      </c>
      <c r="Q18" s="240">
        <f t="shared" si="3"/>
        <v>115.605749486653</v>
      </c>
    </row>
    <row r="19" ht="20.1" customHeight="1" spans="1:17">
      <c r="A19" s="236" t="s">
        <v>27</v>
      </c>
      <c r="B19" s="237">
        <v>8927</v>
      </c>
      <c r="C19" s="219"/>
      <c r="D19" s="238">
        <v>14728</v>
      </c>
      <c r="E19" s="221"/>
      <c r="F19" s="239">
        <v>22230</v>
      </c>
      <c r="G19" s="239">
        <f t="shared" si="5"/>
        <v>7502</v>
      </c>
      <c r="H19" s="240">
        <f t="shared" si="6"/>
        <v>50.9369907658881</v>
      </c>
      <c r="I19" s="221"/>
      <c r="J19" s="239">
        <v>16225</v>
      </c>
      <c r="K19" s="239">
        <f t="shared" si="0"/>
        <v>1497</v>
      </c>
      <c r="L19" s="240">
        <f t="shared" si="1"/>
        <v>10.1643128734384</v>
      </c>
      <c r="M19" s="256"/>
      <c r="N19" s="266">
        <f t="shared" si="7"/>
        <v>11700</v>
      </c>
      <c r="O19" s="267">
        <v>11700</v>
      </c>
      <c r="P19" s="239">
        <f t="shared" si="2"/>
        <v>-4525</v>
      </c>
      <c r="Q19" s="240">
        <f t="shared" si="3"/>
        <v>-27.8890600924499</v>
      </c>
    </row>
    <row r="20" ht="20.1" customHeight="1" spans="1:17">
      <c r="A20" s="236" t="s">
        <v>28</v>
      </c>
      <c r="B20" s="237">
        <v>19316</v>
      </c>
      <c r="C20" s="219"/>
      <c r="D20" s="238">
        <v>20571</v>
      </c>
      <c r="E20" s="221"/>
      <c r="F20" s="239">
        <f>707+15450</f>
        <v>16157</v>
      </c>
      <c r="G20" s="239">
        <f t="shared" si="5"/>
        <v>-4414</v>
      </c>
      <c r="H20" s="240">
        <f t="shared" si="6"/>
        <v>-21.4573914734335</v>
      </c>
      <c r="I20" s="221"/>
      <c r="J20" s="239">
        <v>16755</v>
      </c>
      <c r="K20" s="239">
        <f t="shared" si="0"/>
        <v>-3816</v>
      </c>
      <c r="L20" s="240">
        <f t="shared" si="1"/>
        <v>-18.5503864663847</v>
      </c>
      <c r="M20" s="256"/>
      <c r="N20" s="266">
        <f t="shared" si="7"/>
        <v>17800</v>
      </c>
      <c r="O20" s="267">
        <v>17800</v>
      </c>
      <c r="P20" s="239">
        <f t="shared" si="2"/>
        <v>1045</v>
      </c>
      <c r="Q20" s="240">
        <f t="shared" si="3"/>
        <v>6.23694419576246</v>
      </c>
    </row>
    <row r="21" ht="20.1" customHeight="1" spans="1:17">
      <c r="A21" s="242" t="s">
        <v>29</v>
      </c>
      <c r="B21" s="237">
        <v>1333</v>
      </c>
      <c r="C21" s="219"/>
      <c r="D21" s="238">
        <v>2052</v>
      </c>
      <c r="E21" s="221"/>
      <c r="F21" s="239">
        <v>1550</v>
      </c>
      <c r="G21" s="239">
        <f t="shared" si="5"/>
        <v>-502</v>
      </c>
      <c r="H21" s="240">
        <f t="shared" si="6"/>
        <v>-24.4639376218324</v>
      </c>
      <c r="I21" s="221"/>
      <c r="J21" s="239">
        <v>1549</v>
      </c>
      <c r="K21" s="239">
        <f t="shared" si="0"/>
        <v>-503</v>
      </c>
      <c r="L21" s="240">
        <f t="shared" si="1"/>
        <v>-24.5126705653021</v>
      </c>
      <c r="M21" s="256"/>
      <c r="N21" s="266">
        <f>O21/0.5</f>
        <v>3200</v>
      </c>
      <c r="O21" s="267">
        <v>1600</v>
      </c>
      <c r="P21" s="239">
        <f t="shared" si="2"/>
        <v>51</v>
      </c>
      <c r="Q21" s="240">
        <f t="shared" si="3"/>
        <v>3.29244673983215</v>
      </c>
    </row>
    <row r="22" ht="20.1" customHeight="1" spans="1:17">
      <c r="A22" s="236" t="s">
        <v>30</v>
      </c>
      <c r="B22" s="237">
        <v>3314</v>
      </c>
      <c r="C22" s="219"/>
      <c r="D22" s="238">
        <v>3080.34</v>
      </c>
      <c r="E22" s="221"/>
      <c r="F22" s="239">
        <v>2500</v>
      </c>
      <c r="G22" s="239">
        <f t="shared" si="5"/>
        <v>-580.34</v>
      </c>
      <c r="H22" s="240">
        <f t="shared" si="6"/>
        <v>-18.840128037814</v>
      </c>
      <c r="I22" s="221"/>
      <c r="J22" s="239">
        <v>2837</v>
      </c>
      <c r="K22" s="239">
        <f t="shared" si="0"/>
        <v>-243.34</v>
      </c>
      <c r="L22" s="240">
        <f t="shared" si="1"/>
        <v>-7.89977729731134</v>
      </c>
      <c r="M22" s="256"/>
      <c r="N22" s="266">
        <f>O22/0.8</f>
        <v>3125</v>
      </c>
      <c r="O22" s="267">
        <v>2500</v>
      </c>
      <c r="P22" s="239">
        <f t="shared" si="2"/>
        <v>-337</v>
      </c>
      <c r="Q22" s="240">
        <f t="shared" si="3"/>
        <v>-11.878745153331</v>
      </c>
    </row>
    <row r="23" ht="20.1" customHeight="1" spans="1:17">
      <c r="A23" s="243" t="s">
        <v>31</v>
      </c>
      <c r="B23" s="237">
        <v>2773</v>
      </c>
      <c r="C23" s="219"/>
      <c r="D23" s="238">
        <v>2778</v>
      </c>
      <c r="E23" s="221"/>
      <c r="F23" s="239">
        <v>2500</v>
      </c>
      <c r="G23" s="239">
        <f t="shared" si="5"/>
        <v>-278</v>
      </c>
      <c r="H23" s="240">
        <f t="shared" si="6"/>
        <v>-10.0071994240461</v>
      </c>
      <c r="I23" s="221"/>
      <c r="J23" s="239">
        <v>2577</v>
      </c>
      <c r="K23" s="239">
        <f t="shared" si="0"/>
        <v>-201</v>
      </c>
      <c r="L23" s="240">
        <f t="shared" si="1"/>
        <v>-7.2354211663067</v>
      </c>
      <c r="M23" s="256"/>
      <c r="N23" s="266">
        <f>O23</f>
        <v>2600</v>
      </c>
      <c r="O23" s="267">
        <v>2600</v>
      </c>
      <c r="P23" s="239">
        <f t="shared" si="2"/>
        <v>23</v>
      </c>
      <c r="Q23" s="240">
        <f t="shared" si="3"/>
        <v>0.892510671323244</v>
      </c>
    </row>
    <row r="24" s="202" customFormat="1" ht="20.1" customHeight="1" spans="1:17">
      <c r="A24" s="235" t="s">
        <v>32</v>
      </c>
      <c r="B24" s="234">
        <f>SUM(B32+B25+B37+B28+B38+B39)</f>
        <v>67302</v>
      </c>
      <c r="C24" s="219"/>
      <c r="D24" s="232">
        <f>SUM(D32+D25+D37+D28+D38+D39)</f>
        <v>51979.4</v>
      </c>
      <c r="E24" s="221"/>
      <c r="F24" s="229">
        <f>SUM(F32+F25+F37+F28+F38+F39)</f>
        <v>69281</v>
      </c>
      <c r="G24" s="229">
        <f t="shared" si="5"/>
        <v>17301.6</v>
      </c>
      <c r="H24" s="233">
        <f t="shared" si="6"/>
        <v>33.2854938687249</v>
      </c>
      <c r="I24" s="221"/>
      <c r="J24" s="229">
        <f>SUM(J32+J25+J37+J28+J38+J39)</f>
        <v>68875</v>
      </c>
      <c r="K24" s="229">
        <f t="shared" si="0"/>
        <v>16895.6</v>
      </c>
      <c r="L24" s="233">
        <f t="shared" si="1"/>
        <v>32.5044152106411</v>
      </c>
      <c r="M24" s="256"/>
      <c r="N24" s="264">
        <f>SUM(N32+N25+N37+N28+N38+N39)</f>
        <v>73120</v>
      </c>
      <c r="O24" s="265">
        <f>SUM(O32+O25+O37+O28+O38+O39)</f>
        <v>72920</v>
      </c>
      <c r="P24" s="229">
        <f t="shared" si="2"/>
        <v>4045</v>
      </c>
      <c r="Q24" s="233">
        <f t="shared" si="3"/>
        <v>5.87295825771325</v>
      </c>
    </row>
    <row r="25" s="203" customFormat="1" ht="20.1" customHeight="1" spans="1:17">
      <c r="A25" s="244" t="s">
        <v>33</v>
      </c>
      <c r="B25" s="237">
        <v>31882</v>
      </c>
      <c r="C25" s="219"/>
      <c r="D25" s="238">
        <v>4977</v>
      </c>
      <c r="E25" s="221"/>
      <c r="F25" s="239">
        <f>22200+13300+1231</f>
        <v>36731</v>
      </c>
      <c r="G25" s="239">
        <f t="shared" si="5"/>
        <v>31754</v>
      </c>
      <c r="H25" s="240">
        <f t="shared" si="6"/>
        <v>638.014868394615</v>
      </c>
      <c r="I25" s="221"/>
      <c r="J25" s="239">
        <v>37062</v>
      </c>
      <c r="K25" s="239">
        <f t="shared" si="0"/>
        <v>32085</v>
      </c>
      <c r="L25" s="240">
        <f t="shared" si="1"/>
        <v>644.665461121157</v>
      </c>
      <c r="M25" s="256"/>
      <c r="N25" s="266">
        <f>O25</f>
        <v>36050</v>
      </c>
      <c r="O25" s="267">
        <v>36050</v>
      </c>
      <c r="P25" s="239">
        <f t="shared" si="2"/>
        <v>-1012</v>
      </c>
      <c r="Q25" s="240">
        <f t="shared" si="3"/>
        <v>-2.73055960282769</v>
      </c>
    </row>
    <row r="26" ht="20.1" customHeight="1" spans="1:17">
      <c r="A26" s="244" t="s">
        <v>34</v>
      </c>
      <c r="B26" s="237">
        <v>3480</v>
      </c>
      <c r="C26" s="219"/>
      <c r="D26" s="238">
        <v>3200</v>
      </c>
      <c r="E26" s="221"/>
      <c r="F26" s="239">
        <v>1400</v>
      </c>
      <c r="G26" s="239">
        <f t="shared" si="5"/>
        <v>-1800</v>
      </c>
      <c r="H26" s="240">
        <f t="shared" si="6"/>
        <v>-56.25</v>
      </c>
      <c r="I26" s="221"/>
      <c r="J26" s="239">
        <v>1362</v>
      </c>
      <c r="K26" s="239">
        <f t="shared" si="0"/>
        <v>-1838</v>
      </c>
      <c r="L26" s="240">
        <f t="shared" si="1"/>
        <v>-57.4375</v>
      </c>
      <c r="M26" s="256"/>
      <c r="N26" s="266">
        <f>O26</f>
        <v>2000</v>
      </c>
      <c r="O26" s="267">
        <v>2000</v>
      </c>
      <c r="P26" s="239">
        <f t="shared" si="2"/>
        <v>638</v>
      </c>
      <c r="Q26" s="240">
        <f t="shared" si="3"/>
        <v>46.8428781204112</v>
      </c>
    </row>
    <row r="27" ht="20.1" customHeight="1" spans="1:17">
      <c r="A27" s="244" t="s">
        <v>35</v>
      </c>
      <c r="B27" s="237"/>
      <c r="C27" s="219"/>
      <c r="D27" s="238"/>
      <c r="E27" s="221"/>
      <c r="F27" s="239">
        <f>31231</f>
        <v>31231</v>
      </c>
      <c r="G27" s="239">
        <f t="shared" si="5"/>
        <v>31231</v>
      </c>
      <c r="H27" s="240" t="e">
        <f t="shared" si="6"/>
        <v>#DIV/0!</v>
      </c>
      <c r="I27" s="221"/>
      <c r="J27" s="239">
        <f>31231</f>
        <v>31231</v>
      </c>
      <c r="K27" s="239">
        <f t="shared" si="0"/>
        <v>31231</v>
      </c>
      <c r="L27" s="240" t="e">
        <f t="shared" si="1"/>
        <v>#DIV/0!</v>
      </c>
      <c r="M27" s="256"/>
      <c r="N27" s="266">
        <f>O27</f>
        <v>30000</v>
      </c>
      <c r="O27" s="267">
        <v>30000</v>
      </c>
      <c r="P27" s="239">
        <f t="shared" si="2"/>
        <v>-1231</v>
      </c>
      <c r="Q27" s="240">
        <f t="shared" si="3"/>
        <v>-3.94159649066632</v>
      </c>
    </row>
    <row r="28" ht="20.1" customHeight="1" spans="1:17">
      <c r="A28" s="245" t="s">
        <v>36</v>
      </c>
      <c r="B28" s="237">
        <f>SUM(B29:B31)</f>
        <v>1782</v>
      </c>
      <c r="C28" s="219"/>
      <c r="D28" s="238">
        <f>SUM(D29:D31)</f>
        <v>1769.4</v>
      </c>
      <c r="E28" s="221"/>
      <c r="F28" s="239">
        <f>SUM(F29:F31)</f>
        <v>1400</v>
      </c>
      <c r="G28" s="239">
        <f t="shared" si="5"/>
        <v>-369.4</v>
      </c>
      <c r="H28" s="240">
        <f t="shared" si="6"/>
        <v>-20.8771334915791</v>
      </c>
      <c r="I28" s="221"/>
      <c r="J28" s="239">
        <f>SUM(J29:J31)</f>
        <v>1544</v>
      </c>
      <c r="K28" s="239">
        <f t="shared" si="0"/>
        <v>-225.4</v>
      </c>
      <c r="L28" s="240">
        <f t="shared" si="1"/>
        <v>-12.7387815078558</v>
      </c>
      <c r="M28" s="256"/>
      <c r="N28" s="266">
        <f t="shared" ref="N28:O28" si="8">SUM(N29:N31)</f>
        <v>2200</v>
      </c>
      <c r="O28" s="267">
        <f t="shared" si="8"/>
        <v>2000</v>
      </c>
      <c r="P28" s="239">
        <f t="shared" si="2"/>
        <v>456</v>
      </c>
      <c r="Q28" s="240">
        <f t="shared" si="3"/>
        <v>29.5336787564767</v>
      </c>
    </row>
    <row r="29" ht="20.1" customHeight="1" spans="1:17">
      <c r="A29" s="243" t="s">
        <v>37</v>
      </c>
      <c r="B29" s="237">
        <v>890</v>
      </c>
      <c r="C29" s="219"/>
      <c r="D29" s="238">
        <v>723</v>
      </c>
      <c r="E29" s="221"/>
      <c r="F29" s="239">
        <v>600</v>
      </c>
      <c r="G29" s="239">
        <f t="shared" si="5"/>
        <v>-123</v>
      </c>
      <c r="H29" s="240">
        <f t="shared" si="6"/>
        <v>-17.0124481327801</v>
      </c>
      <c r="I29" s="221"/>
      <c r="J29" s="239">
        <v>778</v>
      </c>
      <c r="K29" s="239">
        <f t="shared" si="0"/>
        <v>55</v>
      </c>
      <c r="L29" s="240">
        <f t="shared" si="1"/>
        <v>7.60719225449515</v>
      </c>
      <c r="M29" s="256"/>
      <c r="N29" s="266">
        <f t="shared" ref="N29:N39" si="9">O29</f>
        <v>1000</v>
      </c>
      <c r="O29" s="267">
        <v>1000</v>
      </c>
      <c r="P29" s="239">
        <f t="shared" si="2"/>
        <v>222</v>
      </c>
      <c r="Q29" s="240">
        <f t="shared" si="3"/>
        <v>28.5347043701799</v>
      </c>
    </row>
    <row r="30" ht="20.1" customHeight="1" spans="1:17">
      <c r="A30" s="243" t="s">
        <v>38</v>
      </c>
      <c r="B30" s="237">
        <v>712</v>
      </c>
      <c r="C30" s="219"/>
      <c r="D30" s="238">
        <v>578.4</v>
      </c>
      <c r="E30" s="221"/>
      <c r="F30" s="239">
        <v>520</v>
      </c>
      <c r="G30" s="239">
        <f t="shared" si="5"/>
        <v>-58.4</v>
      </c>
      <c r="H30" s="240">
        <f t="shared" si="6"/>
        <v>-10.0968188105118</v>
      </c>
      <c r="I30" s="221"/>
      <c r="J30" s="239">
        <v>623</v>
      </c>
      <c r="K30" s="239">
        <f t="shared" si="0"/>
        <v>44.6</v>
      </c>
      <c r="L30" s="240">
        <f t="shared" si="1"/>
        <v>7.71092669432918</v>
      </c>
      <c r="M30" s="256"/>
      <c r="N30" s="266">
        <f>O30/0.8</f>
        <v>1000</v>
      </c>
      <c r="O30" s="267">
        <v>800</v>
      </c>
      <c r="P30" s="239">
        <f t="shared" si="2"/>
        <v>177</v>
      </c>
      <c r="Q30" s="240">
        <f t="shared" si="3"/>
        <v>28.4109149277689</v>
      </c>
    </row>
    <row r="31" ht="20.1" customHeight="1" spans="1:17">
      <c r="A31" s="243" t="s">
        <v>39</v>
      </c>
      <c r="B31" s="237">
        <v>180</v>
      </c>
      <c r="C31" s="219"/>
      <c r="D31" s="238">
        <v>468</v>
      </c>
      <c r="E31" s="221"/>
      <c r="F31" s="239">
        <v>280</v>
      </c>
      <c r="G31" s="239">
        <f t="shared" si="5"/>
        <v>-188</v>
      </c>
      <c r="H31" s="240">
        <f t="shared" si="6"/>
        <v>-40.1709401709402</v>
      </c>
      <c r="I31" s="221"/>
      <c r="J31" s="239">
        <v>143</v>
      </c>
      <c r="K31" s="239">
        <f t="shared" si="0"/>
        <v>-325</v>
      </c>
      <c r="L31" s="240">
        <f t="shared" si="1"/>
        <v>-69.4444444444444</v>
      </c>
      <c r="M31" s="256"/>
      <c r="N31" s="266">
        <f t="shared" si="9"/>
        <v>200</v>
      </c>
      <c r="O31" s="267">
        <v>200</v>
      </c>
      <c r="P31" s="239">
        <f t="shared" si="2"/>
        <v>57</v>
      </c>
      <c r="Q31" s="240">
        <f t="shared" si="3"/>
        <v>39.8601398601399</v>
      </c>
    </row>
    <row r="32" ht="20.1" customHeight="1" spans="1:17">
      <c r="A32" s="244" t="s">
        <v>40</v>
      </c>
      <c r="B32" s="237">
        <f>SUM(B33:B36)</f>
        <v>19484</v>
      </c>
      <c r="C32" s="219"/>
      <c r="D32" s="238">
        <f>SUM(D33:D36)</f>
        <v>32862</v>
      </c>
      <c r="E32" s="221"/>
      <c r="F32" s="239">
        <f>SUM(F33:F36)</f>
        <v>20007</v>
      </c>
      <c r="G32" s="239">
        <f t="shared" si="5"/>
        <v>-12855</v>
      </c>
      <c r="H32" s="240">
        <f t="shared" si="6"/>
        <v>-39.1181303633376</v>
      </c>
      <c r="I32" s="221"/>
      <c r="J32" s="239">
        <f>SUM(J33:J36)</f>
        <v>20266</v>
      </c>
      <c r="K32" s="239">
        <f t="shared" si="0"/>
        <v>-12596</v>
      </c>
      <c r="L32" s="240">
        <f t="shared" si="1"/>
        <v>-38.3299860020693</v>
      </c>
      <c r="M32" s="256"/>
      <c r="N32" s="266">
        <f t="shared" ref="N32:O32" si="10">SUM(N33:N36)</f>
        <v>22270</v>
      </c>
      <c r="O32" s="267">
        <f t="shared" si="10"/>
        <v>22270</v>
      </c>
      <c r="P32" s="239">
        <f t="shared" si="2"/>
        <v>2004</v>
      </c>
      <c r="Q32" s="240">
        <f t="shared" si="3"/>
        <v>9.88848317378861</v>
      </c>
    </row>
    <row r="33" ht="20.1" customHeight="1" spans="1:17">
      <c r="A33" s="236" t="s">
        <v>41</v>
      </c>
      <c r="B33" s="246">
        <v>558</v>
      </c>
      <c r="C33" s="219"/>
      <c r="D33" s="238">
        <v>3200</v>
      </c>
      <c r="E33" s="221"/>
      <c r="F33" s="239">
        <v>12500</v>
      </c>
      <c r="G33" s="239">
        <f t="shared" si="5"/>
        <v>9300</v>
      </c>
      <c r="H33" s="240">
        <f t="shared" si="6"/>
        <v>290.625</v>
      </c>
      <c r="I33" s="221"/>
      <c r="J33" s="239">
        <v>12569</v>
      </c>
      <c r="K33" s="239">
        <f t="shared" si="0"/>
        <v>9369</v>
      </c>
      <c r="L33" s="240">
        <f t="shared" si="1"/>
        <v>292.78125</v>
      </c>
      <c r="M33" s="256"/>
      <c r="N33" s="266">
        <f>O33/0.3</f>
        <v>0</v>
      </c>
      <c r="O33" s="267">
        <v>0</v>
      </c>
      <c r="P33" s="239">
        <f t="shared" si="2"/>
        <v>-12569</v>
      </c>
      <c r="Q33" s="240">
        <f t="shared" si="3"/>
        <v>-100</v>
      </c>
    </row>
    <row r="34" ht="20.1" customHeight="1" spans="1:17">
      <c r="A34" s="236" t="s">
        <v>42</v>
      </c>
      <c r="B34" s="246">
        <v>467</v>
      </c>
      <c r="C34" s="219"/>
      <c r="D34" s="238">
        <v>465</v>
      </c>
      <c r="E34" s="221"/>
      <c r="F34" s="239">
        <v>250</v>
      </c>
      <c r="G34" s="239">
        <f t="shared" si="5"/>
        <v>-215</v>
      </c>
      <c r="H34" s="240">
        <f t="shared" si="6"/>
        <v>-46.236559139785</v>
      </c>
      <c r="I34" s="221"/>
      <c r="J34" s="239">
        <v>289</v>
      </c>
      <c r="K34" s="239">
        <f t="shared" si="0"/>
        <v>-176</v>
      </c>
      <c r="L34" s="240">
        <f t="shared" si="1"/>
        <v>-37.8494623655914</v>
      </c>
      <c r="M34" s="256"/>
      <c r="N34" s="266">
        <f t="shared" si="9"/>
        <v>500</v>
      </c>
      <c r="O34" s="267">
        <v>500</v>
      </c>
      <c r="P34" s="239">
        <f t="shared" si="2"/>
        <v>211</v>
      </c>
      <c r="Q34" s="240">
        <f t="shared" si="3"/>
        <v>73.0103806228374</v>
      </c>
    </row>
    <row r="35" ht="20.1" customHeight="1" spans="1:17">
      <c r="A35" s="244" t="s">
        <v>43</v>
      </c>
      <c r="B35" s="238">
        <v>13074</v>
      </c>
      <c r="C35" s="219"/>
      <c r="D35" s="238">
        <v>24030</v>
      </c>
      <c r="E35" s="221"/>
      <c r="F35" s="239"/>
      <c r="G35" s="239">
        <f t="shared" si="5"/>
        <v>-24030</v>
      </c>
      <c r="H35" s="240">
        <f t="shared" si="6"/>
        <v>-100</v>
      </c>
      <c r="I35" s="221"/>
      <c r="J35" s="239">
        <v>0</v>
      </c>
      <c r="K35" s="239">
        <f t="shared" si="0"/>
        <v>-24030</v>
      </c>
      <c r="L35" s="240">
        <f t="shared" si="1"/>
        <v>-100</v>
      </c>
      <c r="M35" s="256"/>
      <c r="N35" s="266">
        <f t="shared" si="9"/>
        <v>15000</v>
      </c>
      <c r="O35" s="267">
        <v>15000</v>
      </c>
      <c r="P35" s="239">
        <f t="shared" si="2"/>
        <v>15000</v>
      </c>
      <c r="Q35" s="240"/>
    </row>
    <row r="36" ht="20.1" customHeight="1" spans="1:17">
      <c r="A36" s="244" t="s">
        <v>44</v>
      </c>
      <c r="B36" s="238">
        <v>5385</v>
      </c>
      <c r="C36" s="219"/>
      <c r="D36" s="238">
        <v>5167</v>
      </c>
      <c r="E36" s="221"/>
      <c r="F36" s="239">
        <f>1407+5850</f>
        <v>7257</v>
      </c>
      <c r="G36" s="239">
        <f t="shared" si="5"/>
        <v>2090</v>
      </c>
      <c r="H36" s="240">
        <f t="shared" si="6"/>
        <v>40.4490032901103</v>
      </c>
      <c r="I36" s="221"/>
      <c r="J36" s="239">
        <v>7408</v>
      </c>
      <c r="K36" s="239">
        <f t="shared" si="0"/>
        <v>2241</v>
      </c>
      <c r="L36" s="240">
        <f t="shared" si="1"/>
        <v>43.3713953938456</v>
      </c>
      <c r="M36" s="256"/>
      <c r="N36" s="266">
        <f t="shared" si="9"/>
        <v>6770</v>
      </c>
      <c r="O36" s="267">
        <v>6770</v>
      </c>
      <c r="P36" s="239">
        <f t="shared" si="2"/>
        <v>-638</v>
      </c>
      <c r="Q36" s="240">
        <f t="shared" si="3"/>
        <v>-8.61231101511879</v>
      </c>
    </row>
    <row r="37" ht="20.1" customHeight="1" spans="1:17">
      <c r="A37" s="245" t="s">
        <v>45</v>
      </c>
      <c r="B37" s="237">
        <v>7794</v>
      </c>
      <c r="C37" s="219"/>
      <c r="D37" s="238">
        <v>5971</v>
      </c>
      <c r="E37" s="221"/>
      <c r="F37" s="239">
        <v>5600</v>
      </c>
      <c r="G37" s="239">
        <f t="shared" si="5"/>
        <v>-371</v>
      </c>
      <c r="H37" s="240">
        <f t="shared" si="6"/>
        <v>-6.21336459554513</v>
      </c>
      <c r="I37" s="221"/>
      <c r="J37" s="239">
        <v>4845</v>
      </c>
      <c r="K37" s="239">
        <f t="shared" si="0"/>
        <v>-1126</v>
      </c>
      <c r="L37" s="240">
        <f t="shared" si="1"/>
        <v>-18.8578127616815</v>
      </c>
      <c r="M37" s="256"/>
      <c r="N37" s="266">
        <f t="shared" si="9"/>
        <v>6500</v>
      </c>
      <c r="O37" s="267">
        <v>6500</v>
      </c>
      <c r="P37" s="239">
        <f t="shared" si="2"/>
        <v>1655</v>
      </c>
      <c r="Q37" s="240">
        <f t="shared" si="3"/>
        <v>34.1589267285862</v>
      </c>
    </row>
    <row r="38" ht="20.1" customHeight="1" spans="1:17">
      <c r="A38" s="245" t="s">
        <v>46</v>
      </c>
      <c r="B38" s="237">
        <v>1753</v>
      </c>
      <c r="C38" s="219"/>
      <c r="D38" s="238">
        <v>1735</v>
      </c>
      <c r="E38" s="221"/>
      <c r="F38" s="239">
        <v>600</v>
      </c>
      <c r="G38" s="239">
        <f t="shared" si="5"/>
        <v>-1135</v>
      </c>
      <c r="H38" s="240">
        <f t="shared" si="6"/>
        <v>-65.4178674351585</v>
      </c>
      <c r="I38" s="221"/>
      <c r="J38" s="239">
        <v>369</v>
      </c>
      <c r="K38" s="239">
        <f t="shared" si="0"/>
        <v>-1366</v>
      </c>
      <c r="L38" s="240">
        <f t="shared" si="1"/>
        <v>-78.7319884726225</v>
      </c>
      <c r="M38" s="256"/>
      <c r="N38" s="266">
        <f t="shared" si="9"/>
        <v>1500</v>
      </c>
      <c r="O38" s="267">
        <v>1500</v>
      </c>
      <c r="P38" s="239">
        <f t="shared" si="2"/>
        <v>1131</v>
      </c>
      <c r="Q38" s="240">
        <f t="shared" si="3"/>
        <v>306.50406504065</v>
      </c>
    </row>
    <row r="39" ht="20.1" customHeight="1" spans="1:17">
      <c r="A39" s="247" t="s">
        <v>47</v>
      </c>
      <c r="B39" s="248">
        <v>4607</v>
      </c>
      <c r="C39" s="249"/>
      <c r="D39" s="250">
        <v>4665</v>
      </c>
      <c r="E39" s="251"/>
      <c r="F39" s="252">
        <f>5450-507</f>
        <v>4943</v>
      </c>
      <c r="G39" s="252">
        <f t="shared" si="5"/>
        <v>278</v>
      </c>
      <c r="H39" s="253">
        <f t="shared" si="6"/>
        <v>5.95927116827439</v>
      </c>
      <c r="I39" s="251"/>
      <c r="J39" s="252">
        <v>4789</v>
      </c>
      <c r="K39" s="252">
        <f t="shared" si="0"/>
        <v>124</v>
      </c>
      <c r="L39" s="253">
        <f t="shared" si="1"/>
        <v>2.65809217577706</v>
      </c>
      <c r="M39" s="222"/>
      <c r="N39" s="268">
        <f t="shared" si="9"/>
        <v>4600</v>
      </c>
      <c r="O39" s="269">
        <v>4600</v>
      </c>
      <c r="P39" s="252">
        <f t="shared" si="2"/>
        <v>-189</v>
      </c>
      <c r="Q39" s="253">
        <f t="shared" si="3"/>
        <v>-3.9465441637085</v>
      </c>
    </row>
  </sheetData>
  <mergeCells count="10">
    <mergeCell ref="A1:Q1"/>
    <mergeCell ref="O3:Q3"/>
    <mergeCell ref="A3:A4"/>
    <mergeCell ref="B3:B4"/>
    <mergeCell ref="D3:D4"/>
    <mergeCell ref="E3:E39"/>
    <mergeCell ref="I3:I39"/>
    <mergeCell ref="M3:M39"/>
    <mergeCell ref="F3:H4"/>
    <mergeCell ref="J3:L4"/>
  </mergeCells>
  <printOptions horizontalCentered="1"/>
  <pageMargins left="0.393055555555556" right="0.393055555555556" top="0.393055555555556" bottom="0.393055555555556" header="0.313888888888889" footer="0.235416666666667"/>
  <pageSetup paperSize="8" fitToHeight="0" orientation="landscape" useFirstPageNumber="1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6" tint="0.799768059327982"/>
    <pageSetUpPr fitToPage="1"/>
  </sheetPr>
  <dimension ref="A1:AS70"/>
  <sheetViews>
    <sheetView showGridLines="0" showZeros="0" workbookViewId="0">
      <pane xSplit="1" ySplit="4" topLeftCell="B5" activePane="bottomRight" state="frozen"/>
      <selection/>
      <selection pane="topRight"/>
      <selection pane="bottomLeft"/>
      <selection pane="bottomRight" activeCell="T9" sqref="T9"/>
    </sheetView>
  </sheetViews>
  <sheetFormatPr defaultColWidth="0" defaultRowHeight="14.25"/>
  <cols>
    <col min="1" max="1" width="50.625" style="160" customWidth="1"/>
    <col min="2" max="2" width="15.625" style="161" customWidth="1"/>
    <col min="3" max="3" width="1.625" style="162" customWidth="1"/>
    <col min="4" max="4" width="15.625" style="162" customWidth="1"/>
    <col min="5" max="5" width="1.625" style="162" customWidth="1"/>
    <col min="6" max="6" width="15.625" style="162" customWidth="1"/>
    <col min="7" max="7" width="1.625" style="162" customWidth="1"/>
    <col min="8" max="8" width="15.625" style="162" customWidth="1"/>
    <col min="9" max="9" width="1.625" style="162" customWidth="1"/>
    <col min="10" max="11" width="15.625" style="162" customWidth="1"/>
    <col min="12" max="12" width="1.25" style="162" customWidth="1"/>
    <col min="13" max="16" width="10.625" style="162" hidden="1" customWidth="1"/>
    <col min="17" max="18" width="9" style="162" hidden="1" customWidth="1"/>
    <col min="19" max="197" width="9" style="162" customWidth="1"/>
    <col min="198" max="198" width="42.5" style="162" customWidth="1"/>
    <col min="199" max="16383" width="0" style="162" hidden="1"/>
    <col min="16384" max="16384" width="0" style="162"/>
  </cols>
  <sheetData>
    <row r="1" ht="30" customHeight="1" spans="1:11">
      <c r="A1" s="163" t="s">
        <v>48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</row>
    <row r="2" s="158" customFormat="1" ht="17.25" customHeight="1" spans="1:11">
      <c r="A2" s="164" t="s">
        <v>1</v>
      </c>
      <c r="B2" s="165"/>
      <c r="D2" s="165"/>
      <c r="F2" s="165"/>
      <c r="G2" s="165"/>
      <c r="H2" s="165"/>
      <c r="I2" s="165"/>
      <c r="J2" s="165"/>
      <c r="K2" s="158" t="s">
        <v>2</v>
      </c>
    </row>
    <row r="3" ht="24.95" customHeight="1" spans="1:11">
      <c r="A3" s="166" t="s">
        <v>49</v>
      </c>
      <c r="B3" s="167" t="s">
        <v>50</v>
      </c>
      <c r="C3" s="125"/>
      <c r="D3" s="122" t="s">
        <v>51</v>
      </c>
      <c r="E3" s="125"/>
      <c r="F3" s="122" t="s">
        <v>6</v>
      </c>
      <c r="G3" s="125"/>
      <c r="H3" s="125" t="s">
        <v>7</v>
      </c>
      <c r="I3" s="125"/>
      <c r="J3" s="122" t="s">
        <v>52</v>
      </c>
      <c r="K3" s="122"/>
    </row>
    <row r="4" ht="24.95" customHeight="1" spans="1:11">
      <c r="A4" s="168"/>
      <c r="B4" s="167"/>
      <c r="C4" s="169"/>
      <c r="D4" s="122"/>
      <c r="E4" s="169"/>
      <c r="F4" s="122"/>
      <c r="G4" s="169"/>
      <c r="H4" s="169"/>
      <c r="I4" s="169"/>
      <c r="J4" s="122" t="s">
        <v>53</v>
      </c>
      <c r="K4" s="122" t="s">
        <v>11</v>
      </c>
    </row>
    <row r="5" ht="24.95" customHeight="1" spans="1:16">
      <c r="A5" s="170" t="s">
        <v>54</v>
      </c>
      <c r="B5" s="171">
        <f>SUM(B6+B7+B37+B38+B39+B40+B43+B47)</f>
        <v>725422</v>
      </c>
      <c r="C5" s="169"/>
      <c r="D5" s="171">
        <f>SUM(D6+D7+D37+D38+D39+D40+D43+D47)</f>
        <v>771823.74</v>
      </c>
      <c r="E5" s="169"/>
      <c r="F5" s="171">
        <f>SUM(F6+F7+F37+F38+F39+F40+F43+F47)</f>
        <v>854098.8</v>
      </c>
      <c r="G5" s="169"/>
      <c r="H5" s="171">
        <f>SUM(H6+H7+H37+H38+H39+H40+H43+H47)</f>
        <v>902024.11</v>
      </c>
      <c r="I5" s="169"/>
      <c r="J5" s="184">
        <f>SUM(J6+J7+J37+J38+J39+J40+J43+J47)</f>
        <v>865473</v>
      </c>
      <c r="K5" s="185">
        <f>J5-F5</f>
        <v>11374.2</v>
      </c>
      <c r="L5" s="183"/>
      <c r="M5" s="183"/>
      <c r="P5" s="183"/>
    </row>
    <row r="6" ht="24.95" customHeight="1" spans="1:16">
      <c r="A6" s="170" t="s">
        <v>55</v>
      </c>
      <c r="B6" s="172">
        <f>'2'!B5</f>
        <v>214304</v>
      </c>
      <c r="C6" s="169"/>
      <c r="D6" s="172">
        <f>'2'!D5</f>
        <v>201667.74</v>
      </c>
      <c r="E6" s="169"/>
      <c r="F6" s="172">
        <f>'2'!F5</f>
        <v>204489</v>
      </c>
      <c r="G6" s="169"/>
      <c r="H6" s="172">
        <f>'2'!J5</f>
        <v>204524</v>
      </c>
      <c r="I6" s="169"/>
      <c r="J6" s="186">
        <f>'2'!O5</f>
        <v>216040</v>
      </c>
      <c r="K6" s="187">
        <f t="shared" ref="K6:K51" si="0">J6-F6</f>
        <v>11551</v>
      </c>
      <c r="L6" s="183"/>
      <c r="M6" s="183"/>
      <c r="P6" s="183"/>
    </row>
    <row r="7" ht="24.95" customHeight="1" spans="1:17">
      <c r="A7" s="170" t="s">
        <v>56</v>
      </c>
      <c r="B7" s="172">
        <f>B8+B12+B35</f>
        <v>369578</v>
      </c>
      <c r="C7" s="169"/>
      <c r="D7" s="172">
        <f>SUM(D8+D12+D35)</f>
        <v>365028</v>
      </c>
      <c r="E7" s="169"/>
      <c r="F7" s="172">
        <f>SUM(F8+F12+F35)+F36</f>
        <v>414180</v>
      </c>
      <c r="G7" s="169"/>
      <c r="H7" s="172">
        <f>SUM(H8+H12+H35)+H36</f>
        <v>462639.31</v>
      </c>
      <c r="I7" s="169"/>
      <c r="J7" s="186">
        <f>SUM(J8+J12+J35)+J36</f>
        <v>387462</v>
      </c>
      <c r="K7" s="187">
        <f t="shared" si="0"/>
        <v>-26718</v>
      </c>
      <c r="L7" s="183"/>
      <c r="M7" s="183"/>
      <c r="P7" s="183"/>
      <c r="Q7" s="183"/>
    </row>
    <row r="8" ht="24.95" customHeight="1" spans="1:13">
      <c r="A8" s="170" t="s">
        <v>57</v>
      </c>
      <c r="B8" s="172">
        <f>SUM(B9:B11)</f>
        <v>27503</v>
      </c>
      <c r="C8" s="169"/>
      <c r="D8" s="172">
        <f>SUM(D9:D11)</f>
        <v>27503</v>
      </c>
      <c r="E8" s="169"/>
      <c r="F8" s="172">
        <f>SUM(F9:F11)</f>
        <v>27503</v>
      </c>
      <c r="G8" s="169"/>
      <c r="H8" s="172">
        <f>SUM(H9:H11)</f>
        <v>27503</v>
      </c>
      <c r="I8" s="169"/>
      <c r="J8" s="186">
        <f>SUM(J9:J11)</f>
        <v>27503</v>
      </c>
      <c r="K8" s="187">
        <f t="shared" si="0"/>
        <v>0</v>
      </c>
      <c r="L8" s="183"/>
      <c r="M8" s="183"/>
    </row>
    <row r="9" ht="24.95" customHeight="1" spans="1:13">
      <c r="A9" s="173" t="s">
        <v>58</v>
      </c>
      <c r="B9" s="174">
        <v>13178</v>
      </c>
      <c r="C9" s="169"/>
      <c r="D9" s="174">
        <v>13178</v>
      </c>
      <c r="E9" s="169"/>
      <c r="F9" s="174">
        <v>13178</v>
      </c>
      <c r="G9" s="169"/>
      <c r="H9" s="174">
        <v>13178</v>
      </c>
      <c r="I9" s="169"/>
      <c r="J9" s="188">
        <v>13178</v>
      </c>
      <c r="K9" s="189">
        <f t="shared" si="0"/>
        <v>0</v>
      </c>
      <c r="L9" s="183"/>
      <c r="M9" s="183"/>
    </row>
    <row r="10" ht="24.95" customHeight="1" spans="1:45">
      <c r="A10" s="173" t="s">
        <v>59</v>
      </c>
      <c r="B10" s="174">
        <v>1657</v>
      </c>
      <c r="C10" s="169"/>
      <c r="D10" s="174">
        <v>1657</v>
      </c>
      <c r="E10" s="169"/>
      <c r="F10" s="174">
        <v>1657</v>
      </c>
      <c r="G10" s="169"/>
      <c r="H10" s="174">
        <v>1657</v>
      </c>
      <c r="I10" s="169"/>
      <c r="J10" s="188">
        <v>1657</v>
      </c>
      <c r="K10" s="189">
        <f t="shared" si="0"/>
        <v>0</v>
      </c>
      <c r="L10" s="183"/>
      <c r="M10" s="183"/>
      <c r="AS10" s="200"/>
    </row>
    <row r="11" ht="24.95" customHeight="1" spans="1:45">
      <c r="A11" s="173" t="s">
        <v>60</v>
      </c>
      <c r="B11" s="174">
        <v>12668</v>
      </c>
      <c r="C11" s="169"/>
      <c r="D11" s="174">
        <v>12668</v>
      </c>
      <c r="E11" s="169"/>
      <c r="F11" s="174">
        <v>12668</v>
      </c>
      <c r="G11" s="169"/>
      <c r="H11" s="174">
        <v>12668</v>
      </c>
      <c r="I11" s="169"/>
      <c r="J11" s="188">
        <v>12668</v>
      </c>
      <c r="K11" s="189">
        <f t="shared" si="0"/>
        <v>0</v>
      </c>
      <c r="L11" s="183"/>
      <c r="M11" s="183"/>
      <c r="AS11" s="200"/>
    </row>
    <row r="12" ht="24.95" customHeight="1" spans="1:45">
      <c r="A12" s="170" t="s">
        <v>61</v>
      </c>
      <c r="B12" s="172">
        <f>SUM(B13:B34)-B24</f>
        <v>172939</v>
      </c>
      <c r="C12" s="169"/>
      <c r="D12" s="172">
        <f>SUM(D13:D34)-D24</f>
        <v>224761</v>
      </c>
      <c r="E12" s="169"/>
      <c r="F12" s="172">
        <f>SUM(F13:F34)-F24</f>
        <v>249267</v>
      </c>
      <c r="G12" s="169"/>
      <c r="H12" s="172">
        <f>SUM(H13:H34)-H24</f>
        <v>291628.31</v>
      </c>
      <c r="I12" s="169"/>
      <c r="J12" s="186">
        <f>SUM(J13:J34)-J24</f>
        <v>244959</v>
      </c>
      <c r="K12" s="187">
        <f t="shared" si="0"/>
        <v>-4308</v>
      </c>
      <c r="L12" s="183"/>
      <c r="M12" s="183"/>
      <c r="AS12" s="200"/>
    </row>
    <row r="13" ht="24.95" customHeight="1" spans="1:45">
      <c r="A13" s="173" t="s">
        <v>62</v>
      </c>
      <c r="B13" s="174">
        <v>44807</v>
      </c>
      <c r="C13" s="169"/>
      <c r="D13" s="174">
        <v>43069</v>
      </c>
      <c r="E13" s="169"/>
      <c r="F13" s="174">
        <v>43911</v>
      </c>
      <c r="G13" s="169"/>
      <c r="H13" s="174">
        <v>43911</v>
      </c>
      <c r="I13" s="169"/>
      <c r="J13" s="188">
        <v>43000</v>
      </c>
      <c r="K13" s="189">
        <f t="shared" si="0"/>
        <v>-911</v>
      </c>
      <c r="L13" s="183"/>
      <c r="M13" s="183"/>
      <c r="AS13" s="200"/>
    </row>
    <row r="14" ht="24.95" customHeight="1" spans="1:45">
      <c r="A14" s="173" t="s">
        <v>63</v>
      </c>
      <c r="B14" s="174">
        <v>11795</v>
      </c>
      <c r="C14" s="169"/>
      <c r="D14" s="174">
        <v>24495</v>
      </c>
      <c r="E14" s="169"/>
      <c r="F14" s="174">
        <v>32712</v>
      </c>
      <c r="G14" s="169"/>
      <c r="H14" s="174">
        <v>54212</v>
      </c>
      <c r="I14" s="169"/>
      <c r="J14" s="188">
        <v>33000</v>
      </c>
      <c r="K14" s="189">
        <f t="shared" si="0"/>
        <v>288</v>
      </c>
      <c r="L14" s="183"/>
      <c r="M14" s="183"/>
      <c r="AS14" s="200"/>
    </row>
    <row r="15" ht="24.95" customHeight="1" spans="1:45">
      <c r="A15" s="173" t="s">
        <v>64</v>
      </c>
      <c r="B15" s="174">
        <v>7389</v>
      </c>
      <c r="C15" s="169"/>
      <c r="D15" s="174">
        <v>5447</v>
      </c>
      <c r="E15" s="169"/>
      <c r="F15" s="174">
        <v>7800</v>
      </c>
      <c r="G15" s="169"/>
      <c r="H15" s="174">
        <v>14888.31</v>
      </c>
      <c r="I15" s="169"/>
      <c r="J15" s="188">
        <v>7500</v>
      </c>
      <c r="K15" s="189">
        <f t="shared" si="0"/>
        <v>-300</v>
      </c>
      <c r="L15" s="183"/>
      <c r="M15" s="183"/>
      <c r="AS15" s="200"/>
    </row>
    <row r="16" ht="24.95" customHeight="1" spans="1:45">
      <c r="A16" s="173" t="s">
        <v>65</v>
      </c>
      <c r="B16" s="174">
        <v>1945</v>
      </c>
      <c r="C16" s="169"/>
      <c r="D16" s="174">
        <v>2442</v>
      </c>
      <c r="E16" s="169"/>
      <c r="F16" s="174"/>
      <c r="G16" s="169"/>
      <c r="H16" s="174"/>
      <c r="I16" s="169"/>
      <c r="J16" s="188"/>
      <c r="K16" s="189">
        <f t="shared" si="0"/>
        <v>0</v>
      </c>
      <c r="L16" s="183"/>
      <c r="M16" s="183"/>
      <c r="AS16" s="200"/>
    </row>
    <row r="17" ht="24.95" customHeight="1" spans="1:45">
      <c r="A17" s="173" t="s">
        <v>66</v>
      </c>
      <c r="B17" s="174">
        <v>11292</v>
      </c>
      <c r="C17" s="169"/>
      <c r="D17" s="174">
        <v>1377</v>
      </c>
      <c r="E17" s="169"/>
      <c r="F17" s="174"/>
      <c r="G17" s="169"/>
      <c r="H17" s="174"/>
      <c r="I17" s="169"/>
      <c r="J17" s="188"/>
      <c r="K17" s="189">
        <f t="shared" si="0"/>
        <v>0</v>
      </c>
      <c r="L17" s="183"/>
      <c r="M17" s="183"/>
      <c r="AS17" s="200"/>
    </row>
    <row r="18" ht="24.95" customHeight="1" spans="1:45">
      <c r="A18" s="173" t="s">
        <v>67</v>
      </c>
      <c r="B18" s="174">
        <v>1259</v>
      </c>
      <c r="C18" s="169"/>
      <c r="D18" s="174">
        <v>1259</v>
      </c>
      <c r="E18" s="169"/>
      <c r="F18" s="174">
        <v>1259</v>
      </c>
      <c r="G18" s="169"/>
      <c r="H18" s="174">
        <v>1259</v>
      </c>
      <c r="I18" s="169"/>
      <c r="J18" s="188">
        <v>1259</v>
      </c>
      <c r="K18" s="189">
        <f t="shared" si="0"/>
        <v>0</v>
      </c>
      <c r="L18" s="183"/>
      <c r="M18" s="183"/>
      <c r="AS18" s="200"/>
    </row>
    <row r="19" ht="24.95" customHeight="1" spans="1:45">
      <c r="A19" s="173" t="s">
        <v>68</v>
      </c>
      <c r="B19" s="174">
        <v>34696</v>
      </c>
      <c r="C19" s="169"/>
      <c r="D19" s="174">
        <v>36227</v>
      </c>
      <c r="E19" s="169"/>
      <c r="F19" s="174"/>
      <c r="G19" s="169"/>
      <c r="H19" s="174"/>
      <c r="I19" s="169"/>
      <c r="J19" s="188"/>
      <c r="K19" s="189">
        <f t="shared" si="0"/>
        <v>0</v>
      </c>
      <c r="L19" s="183"/>
      <c r="M19" s="183"/>
      <c r="AS19" s="200"/>
    </row>
    <row r="20" ht="24.95" customHeight="1" spans="1:45">
      <c r="A20" s="173" t="s">
        <v>69</v>
      </c>
      <c r="B20" s="174">
        <v>4996</v>
      </c>
      <c r="C20" s="169"/>
      <c r="D20" s="174">
        <v>2030</v>
      </c>
      <c r="E20" s="169"/>
      <c r="F20" s="174"/>
      <c r="G20" s="169"/>
      <c r="H20" s="174"/>
      <c r="I20" s="169"/>
      <c r="J20" s="188"/>
      <c r="K20" s="189">
        <f t="shared" si="0"/>
        <v>0</v>
      </c>
      <c r="L20" s="183"/>
      <c r="M20" s="183"/>
      <c r="AS20" s="200"/>
    </row>
    <row r="21" ht="24.95" customHeight="1" spans="1:45">
      <c r="A21" s="173" t="s">
        <v>70</v>
      </c>
      <c r="B21" s="174">
        <v>2040</v>
      </c>
      <c r="C21" s="169"/>
      <c r="D21" s="174">
        <v>1528</v>
      </c>
      <c r="E21" s="169"/>
      <c r="F21" s="174">
        <v>1800</v>
      </c>
      <c r="G21" s="169"/>
      <c r="H21" s="174">
        <v>1880</v>
      </c>
      <c r="I21" s="169"/>
      <c r="J21" s="188">
        <v>1800</v>
      </c>
      <c r="K21" s="189">
        <f t="shared" si="0"/>
        <v>0</v>
      </c>
      <c r="L21" s="183"/>
      <c r="M21" s="183"/>
      <c r="AS21" s="200"/>
    </row>
    <row r="22" ht="24.95" customHeight="1" spans="1:45">
      <c r="A22" s="173" t="s">
        <v>71</v>
      </c>
      <c r="B22" s="174">
        <v>19475</v>
      </c>
      <c r="C22" s="169"/>
      <c r="D22" s="174">
        <v>19539</v>
      </c>
      <c r="E22" s="169"/>
      <c r="F22" s="174">
        <v>20548</v>
      </c>
      <c r="G22" s="169"/>
      <c r="H22" s="174">
        <v>19539</v>
      </c>
      <c r="I22" s="169"/>
      <c r="J22" s="188">
        <v>21000</v>
      </c>
      <c r="K22" s="189">
        <f t="shared" si="0"/>
        <v>452</v>
      </c>
      <c r="L22" s="183"/>
      <c r="M22" s="183"/>
      <c r="AS22" s="200"/>
    </row>
    <row r="23" ht="24.95" customHeight="1" spans="1:45">
      <c r="A23" s="173" t="s">
        <v>72</v>
      </c>
      <c r="B23" s="174">
        <v>1733</v>
      </c>
      <c r="C23" s="169"/>
      <c r="D23" s="174">
        <v>3398</v>
      </c>
      <c r="E23" s="169"/>
      <c r="F23" s="174">
        <v>3500</v>
      </c>
      <c r="G23" s="169"/>
      <c r="H23" s="174">
        <v>3387</v>
      </c>
      <c r="I23" s="169"/>
      <c r="J23" s="188">
        <v>3000</v>
      </c>
      <c r="K23" s="189">
        <f t="shared" si="0"/>
        <v>-500</v>
      </c>
      <c r="L23" s="183"/>
      <c r="M23" s="183"/>
      <c r="T23" s="198"/>
      <c r="U23" s="198"/>
      <c r="AS23" s="200"/>
    </row>
    <row r="24" ht="24.95" customHeight="1" spans="1:45">
      <c r="A24" s="173" t="s">
        <v>73</v>
      </c>
      <c r="B24" s="174">
        <f>SUM(B25:B33)</f>
        <v>0</v>
      </c>
      <c r="C24" s="169"/>
      <c r="D24" s="174">
        <f>SUM(D25:D33)</f>
        <v>65119</v>
      </c>
      <c r="E24" s="169"/>
      <c r="F24" s="174">
        <f>SUM(F25:F33)</f>
        <v>135912</v>
      </c>
      <c r="G24" s="169"/>
      <c r="H24" s="174">
        <f>SUM(H25:H33)</f>
        <v>150369</v>
      </c>
      <c r="I24" s="169"/>
      <c r="J24" s="188">
        <f>SUM(J25:J33)</f>
        <v>132400</v>
      </c>
      <c r="K24" s="189">
        <f t="shared" si="0"/>
        <v>-3512</v>
      </c>
      <c r="L24" s="183"/>
      <c r="M24" s="183"/>
      <c r="T24" s="198"/>
      <c r="U24" s="198"/>
      <c r="AS24" s="200"/>
    </row>
    <row r="25" ht="24.95" customHeight="1" spans="1:45">
      <c r="A25" s="173" t="s">
        <v>74</v>
      </c>
      <c r="B25" s="174"/>
      <c r="C25" s="169"/>
      <c r="D25" s="174">
        <v>14441</v>
      </c>
      <c r="E25" s="169"/>
      <c r="F25" s="174">
        <v>15818</v>
      </c>
      <c r="G25" s="169"/>
      <c r="H25" s="174">
        <v>17307</v>
      </c>
      <c r="I25" s="169"/>
      <c r="J25" s="188">
        <v>16000</v>
      </c>
      <c r="K25" s="189">
        <f t="shared" si="0"/>
        <v>182</v>
      </c>
      <c r="L25" s="183"/>
      <c r="M25" s="183"/>
      <c r="T25" s="198"/>
      <c r="U25" s="198"/>
      <c r="AS25" s="200"/>
    </row>
    <row r="26" ht="24.95" customHeight="1" spans="1:45">
      <c r="A26" s="173" t="s">
        <v>75</v>
      </c>
      <c r="B26" s="174"/>
      <c r="C26" s="169"/>
      <c r="D26" s="174">
        <v>128</v>
      </c>
      <c r="E26" s="169"/>
      <c r="F26" s="174">
        <v>386</v>
      </c>
      <c r="G26" s="169"/>
      <c r="H26" s="174">
        <v>553</v>
      </c>
      <c r="I26" s="169"/>
      <c r="J26" s="188"/>
      <c r="K26" s="189">
        <f t="shared" si="0"/>
        <v>-386</v>
      </c>
      <c r="L26" s="183"/>
      <c r="M26" s="183"/>
      <c r="T26" s="198"/>
      <c r="U26" s="198"/>
      <c r="AS26" s="200"/>
    </row>
    <row r="27" ht="24.95" customHeight="1" spans="1:45">
      <c r="A27" s="173" t="s">
        <v>76</v>
      </c>
      <c r="B27" s="174"/>
      <c r="C27" s="169"/>
      <c r="D27" s="174">
        <v>17223</v>
      </c>
      <c r="E27" s="169"/>
      <c r="F27" s="174">
        <v>33535</v>
      </c>
      <c r="G27" s="169"/>
      <c r="H27" s="174">
        <v>36559</v>
      </c>
      <c r="I27" s="169"/>
      <c r="J27" s="188">
        <v>34000</v>
      </c>
      <c r="K27" s="189">
        <f t="shared" si="0"/>
        <v>465</v>
      </c>
      <c r="L27" s="183"/>
      <c r="M27" s="183"/>
      <c r="T27" s="198"/>
      <c r="U27" s="198"/>
      <c r="AS27" s="200"/>
    </row>
    <row r="28" ht="24.95" customHeight="1" spans="1:45">
      <c r="A28" s="173" t="s">
        <v>77</v>
      </c>
      <c r="B28" s="174"/>
      <c r="C28" s="169"/>
      <c r="D28" s="174">
        <v>14458</v>
      </c>
      <c r="E28" s="169"/>
      <c r="F28" s="174">
        <v>50000</v>
      </c>
      <c r="G28" s="169"/>
      <c r="H28" s="174">
        <v>47005</v>
      </c>
      <c r="I28" s="169"/>
      <c r="J28" s="188">
        <v>50000</v>
      </c>
      <c r="K28" s="189">
        <f t="shared" si="0"/>
        <v>0</v>
      </c>
      <c r="L28" s="183"/>
      <c r="M28" s="183"/>
      <c r="T28" s="198"/>
      <c r="U28" s="198"/>
      <c r="AS28" s="200"/>
    </row>
    <row r="29" ht="24.95" customHeight="1" spans="1:45">
      <c r="A29" s="173" t="s">
        <v>78</v>
      </c>
      <c r="B29" s="174"/>
      <c r="C29" s="169"/>
      <c r="D29" s="174">
        <v>3500</v>
      </c>
      <c r="E29" s="169"/>
      <c r="F29" s="174"/>
      <c r="G29" s="169"/>
      <c r="H29" s="174">
        <v>6165</v>
      </c>
      <c r="I29" s="169"/>
      <c r="J29" s="188"/>
      <c r="K29" s="189">
        <f t="shared" si="0"/>
        <v>0</v>
      </c>
      <c r="L29" s="183"/>
      <c r="M29" s="183"/>
      <c r="T29" s="198"/>
      <c r="U29" s="198"/>
      <c r="AS29" s="200"/>
    </row>
    <row r="30" ht="24.95" customHeight="1" spans="1:45">
      <c r="A30" s="173" t="s">
        <v>79</v>
      </c>
      <c r="B30" s="174"/>
      <c r="C30" s="169"/>
      <c r="D30" s="174">
        <v>8488</v>
      </c>
      <c r="E30" s="169"/>
      <c r="F30" s="174">
        <v>19350</v>
      </c>
      <c r="G30" s="169"/>
      <c r="H30" s="174">
        <v>31397</v>
      </c>
      <c r="I30" s="169"/>
      <c r="J30" s="188">
        <v>20000</v>
      </c>
      <c r="K30" s="189">
        <f t="shared" si="0"/>
        <v>650</v>
      </c>
      <c r="L30" s="183"/>
      <c r="M30" s="183"/>
      <c r="T30" s="198"/>
      <c r="U30" s="198"/>
      <c r="AS30" s="200"/>
    </row>
    <row r="31" ht="24.95" customHeight="1" spans="1:45">
      <c r="A31" s="173" t="s">
        <v>80</v>
      </c>
      <c r="B31" s="174"/>
      <c r="C31" s="169"/>
      <c r="D31" s="174">
        <v>6371</v>
      </c>
      <c r="E31" s="169"/>
      <c r="F31" s="174">
        <v>14207</v>
      </c>
      <c r="G31" s="169"/>
      <c r="H31" s="174">
        <v>8732</v>
      </c>
      <c r="I31" s="169"/>
      <c r="J31" s="188">
        <v>10000</v>
      </c>
      <c r="K31" s="189">
        <f t="shared" si="0"/>
        <v>-4207</v>
      </c>
      <c r="L31" s="183"/>
      <c r="M31" s="183"/>
      <c r="T31" s="198"/>
      <c r="U31" s="198"/>
      <c r="AS31" s="200"/>
    </row>
    <row r="32" ht="24.95" customHeight="1" spans="1:45">
      <c r="A32" s="173" t="s">
        <v>81</v>
      </c>
      <c r="B32" s="174"/>
      <c r="C32" s="169"/>
      <c r="D32" s="174"/>
      <c r="E32" s="169"/>
      <c r="F32" s="174">
        <v>2465</v>
      </c>
      <c r="G32" s="169"/>
      <c r="H32" s="174">
        <v>2481</v>
      </c>
      <c r="I32" s="169"/>
      <c r="J32" s="188">
        <v>2400</v>
      </c>
      <c r="K32" s="189">
        <f t="shared" si="0"/>
        <v>-65</v>
      </c>
      <c r="L32" s="183"/>
      <c r="M32" s="183"/>
      <c r="T32" s="198"/>
      <c r="U32" s="198"/>
      <c r="AS32" s="200"/>
    </row>
    <row r="33" ht="24.95" customHeight="1" spans="1:45">
      <c r="A33" s="173" t="s">
        <v>82</v>
      </c>
      <c r="B33" s="174"/>
      <c r="C33" s="169"/>
      <c r="D33" s="174">
        <v>510</v>
      </c>
      <c r="E33" s="169"/>
      <c r="F33" s="174">
        <v>151</v>
      </c>
      <c r="G33" s="169"/>
      <c r="H33" s="174">
        <v>170</v>
      </c>
      <c r="I33" s="169"/>
      <c r="J33" s="188"/>
      <c r="K33" s="189">
        <f t="shared" si="0"/>
        <v>-151</v>
      </c>
      <c r="L33" s="183"/>
      <c r="M33" s="183"/>
      <c r="T33" s="198"/>
      <c r="U33" s="198"/>
      <c r="AS33" s="200"/>
    </row>
    <row r="34" ht="24.95" customHeight="1" spans="1:45">
      <c r="A34" s="173" t="s">
        <v>83</v>
      </c>
      <c r="B34" s="174">
        <v>31512</v>
      </c>
      <c r="C34" s="169"/>
      <c r="D34" s="174">
        <v>18831</v>
      </c>
      <c r="E34" s="169"/>
      <c r="F34" s="174">
        <v>1825</v>
      </c>
      <c r="G34" s="169"/>
      <c r="H34" s="174">
        <v>2183</v>
      </c>
      <c r="I34" s="169"/>
      <c r="J34" s="188">
        <v>2000</v>
      </c>
      <c r="K34" s="189">
        <f t="shared" si="0"/>
        <v>175</v>
      </c>
      <c r="L34" s="165"/>
      <c r="M34" s="165"/>
      <c r="T34" s="198"/>
      <c r="U34" s="198"/>
      <c r="AS34" s="200"/>
    </row>
    <row r="35" ht="24.95" customHeight="1" spans="1:45">
      <c r="A35" s="170" t="s">
        <v>84</v>
      </c>
      <c r="B35" s="172">
        <v>169136</v>
      </c>
      <c r="C35" s="169"/>
      <c r="D35" s="172">
        <v>112764</v>
      </c>
      <c r="E35" s="169"/>
      <c r="F35" s="172">
        <v>115910</v>
      </c>
      <c r="G35" s="169"/>
      <c r="H35" s="172">
        <v>116888</v>
      </c>
      <c r="I35" s="169"/>
      <c r="J35" s="186">
        <v>115000</v>
      </c>
      <c r="K35" s="187">
        <f t="shared" si="0"/>
        <v>-910</v>
      </c>
      <c r="L35" s="183"/>
      <c r="M35" s="183"/>
      <c r="N35" s="183"/>
      <c r="T35" s="198"/>
      <c r="U35" s="198"/>
      <c r="AS35" s="200"/>
    </row>
    <row r="36" ht="24.95" customHeight="1" spans="1:45">
      <c r="A36" s="170" t="s">
        <v>85</v>
      </c>
      <c r="B36" s="172"/>
      <c r="C36" s="169"/>
      <c r="D36" s="172"/>
      <c r="E36" s="169"/>
      <c r="F36" s="172">
        <v>21500</v>
      </c>
      <c r="G36" s="169"/>
      <c r="H36" s="172">
        <v>26620</v>
      </c>
      <c r="I36" s="169"/>
      <c r="J36" s="186"/>
      <c r="K36" s="187">
        <f t="shared" si="0"/>
        <v>-21500</v>
      </c>
      <c r="L36" s="183"/>
      <c r="M36" s="183"/>
      <c r="N36" s="183"/>
      <c r="T36" s="198"/>
      <c r="U36" s="198"/>
      <c r="AS36" s="200"/>
    </row>
    <row r="37" ht="24.95" customHeight="1" spans="1:45">
      <c r="A37" s="170" t="s">
        <v>86</v>
      </c>
      <c r="B37" s="172">
        <v>30000</v>
      </c>
      <c r="C37" s="169"/>
      <c r="D37" s="172">
        <v>29700</v>
      </c>
      <c r="E37" s="169"/>
      <c r="F37" s="172">
        <v>143900</v>
      </c>
      <c r="G37" s="169"/>
      <c r="H37" s="172">
        <v>143900</v>
      </c>
      <c r="I37" s="169"/>
      <c r="J37" s="186"/>
      <c r="K37" s="187">
        <f t="shared" si="0"/>
        <v>-143900</v>
      </c>
      <c r="L37" s="183"/>
      <c r="M37" s="183"/>
      <c r="P37" s="183"/>
      <c r="AS37" s="200"/>
    </row>
    <row r="38" ht="24.95" customHeight="1" spans="1:45">
      <c r="A38" s="170" t="s">
        <v>87</v>
      </c>
      <c r="B38" s="172">
        <v>-30000</v>
      </c>
      <c r="C38" s="169"/>
      <c r="D38" s="172">
        <v>-11909</v>
      </c>
      <c r="E38" s="169"/>
      <c r="F38" s="172">
        <v>-113900</v>
      </c>
      <c r="G38" s="169"/>
      <c r="H38" s="172">
        <v>-113900</v>
      </c>
      <c r="I38" s="169"/>
      <c r="J38" s="186"/>
      <c r="K38" s="187">
        <f t="shared" si="0"/>
        <v>113900</v>
      </c>
      <c r="L38" s="183"/>
      <c r="M38" s="183"/>
      <c r="N38" s="183"/>
      <c r="P38" s="183"/>
      <c r="AS38" s="200"/>
    </row>
    <row r="39" ht="24.95" customHeight="1" spans="1:45">
      <c r="A39" s="175" t="s">
        <v>88</v>
      </c>
      <c r="B39" s="172">
        <v>31689</v>
      </c>
      <c r="C39" s="169"/>
      <c r="D39" s="172">
        <v>33694</v>
      </c>
      <c r="E39" s="169"/>
      <c r="F39" s="172">
        <v>33632</v>
      </c>
      <c r="G39" s="169"/>
      <c r="H39" s="172">
        <v>33632</v>
      </c>
      <c r="I39" s="169"/>
      <c r="J39" s="186">
        <f>7231+26070</f>
        <v>33301</v>
      </c>
      <c r="K39" s="187">
        <f t="shared" si="0"/>
        <v>-331</v>
      </c>
      <c r="L39" s="183"/>
      <c r="M39" s="183"/>
      <c r="P39" s="183"/>
      <c r="AS39" s="200"/>
    </row>
    <row r="40" ht="24.95" customHeight="1" spans="1:45">
      <c r="A40" s="170" t="s">
        <v>89</v>
      </c>
      <c r="B40" s="172">
        <f>B41+B42</f>
        <v>149095</v>
      </c>
      <c r="C40" s="169"/>
      <c r="D40" s="172">
        <f>SUM(D41:D42)</f>
        <v>196196</v>
      </c>
      <c r="E40" s="169"/>
      <c r="F40" s="172">
        <f>SUM(F41:F42)</f>
        <v>230527.8</v>
      </c>
      <c r="G40" s="169"/>
      <c r="H40" s="172">
        <f>SUM(H41:H42)</f>
        <v>230528.8</v>
      </c>
      <c r="I40" s="169"/>
      <c r="J40" s="186">
        <f>SUM(J41:J42)</f>
        <v>253645</v>
      </c>
      <c r="K40" s="187">
        <f t="shared" si="0"/>
        <v>23117.2</v>
      </c>
      <c r="L40" s="183"/>
      <c r="M40" s="183"/>
      <c r="P40" s="183"/>
      <c r="AS40" s="200"/>
    </row>
    <row r="41" s="159" customFormat="1" ht="24.95" customHeight="1" spans="1:45">
      <c r="A41" s="173" t="s">
        <v>90</v>
      </c>
      <c r="B41" s="174">
        <v>108851</v>
      </c>
      <c r="C41" s="169"/>
      <c r="D41" s="174">
        <v>162000</v>
      </c>
      <c r="E41" s="169"/>
      <c r="F41" s="174">
        <f>-'5'!D30</f>
        <v>195000</v>
      </c>
      <c r="G41" s="169"/>
      <c r="H41" s="174">
        <f>-'5'!E30</f>
        <v>200000</v>
      </c>
      <c r="I41" s="169"/>
      <c r="J41" s="188">
        <f>-'5'!F30</f>
        <v>155321</v>
      </c>
      <c r="K41" s="189">
        <f t="shared" si="0"/>
        <v>-39679</v>
      </c>
      <c r="L41" s="190"/>
      <c r="M41" s="190"/>
      <c r="AS41" s="200"/>
    </row>
    <row r="42" s="159" customFormat="1" ht="24.95" customHeight="1" spans="1:45">
      <c r="A42" s="173" t="s">
        <v>91</v>
      </c>
      <c r="B42" s="174">
        <v>40244</v>
      </c>
      <c r="C42" s="169"/>
      <c r="D42" s="174">
        <v>34196</v>
      </c>
      <c r="E42" s="169"/>
      <c r="F42" s="174">
        <f>-'6'!D23</f>
        <v>35527.8</v>
      </c>
      <c r="G42" s="169"/>
      <c r="H42" s="174">
        <f>-'6'!E23</f>
        <v>30528.8</v>
      </c>
      <c r="I42" s="169"/>
      <c r="J42" s="188">
        <f>-'6'!F23</f>
        <v>98324</v>
      </c>
      <c r="K42" s="189">
        <f t="shared" si="0"/>
        <v>62796.2</v>
      </c>
      <c r="L42" s="190"/>
      <c r="M42" s="190"/>
      <c r="AS42" s="200"/>
    </row>
    <row r="43" ht="24.95" customHeight="1" spans="1:45">
      <c r="A43" s="170" t="s">
        <v>92</v>
      </c>
      <c r="B43" s="172">
        <f>B44+B45</f>
        <v>-42214</v>
      </c>
      <c r="C43" s="169"/>
      <c r="D43" s="172">
        <f>SUM(D44:D45)</f>
        <v>-46095</v>
      </c>
      <c r="E43" s="169"/>
      <c r="F43" s="172">
        <f>SUM(F44:F45)</f>
        <v>-58730</v>
      </c>
      <c r="G43" s="169"/>
      <c r="H43" s="172">
        <f>SUM(H44:H45)</f>
        <v>-59300</v>
      </c>
      <c r="I43" s="169"/>
      <c r="J43" s="186">
        <f>SUM(J44:J45)</f>
        <v>-62572</v>
      </c>
      <c r="K43" s="187">
        <f t="shared" si="0"/>
        <v>-3842</v>
      </c>
      <c r="L43" s="183"/>
      <c r="M43" s="183"/>
      <c r="P43" s="183"/>
      <c r="AS43" s="200"/>
    </row>
    <row r="44" ht="24.95" customHeight="1" spans="1:45">
      <c r="A44" s="173" t="s">
        <v>93</v>
      </c>
      <c r="B44" s="174">
        <v>-7170</v>
      </c>
      <c r="C44" s="169"/>
      <c r="D44" s="174">
        <v>-7170</v>
      </c>
      <c r="E44" s="169"/>
      <c r="F44" s="174">
        <v>-7170</v>
      </c>
      <c r="G44" s="169"/>
      <c r="H44" s="174">
        <v>-7170</v>
      </c>
      <c r="I44" s="169"/>
      <c r="J44" s="188">
        <v>-7170</v>
      </c>
      <c r="K44" s="189">
        <f t="shared" si="0"/>
        <v>0</v>
      </c>
      <c r="L44" s="183"/>
      <c r="M44" s="183"/>
      <c r="AS44" s="200"/>
    </row>
    <row r="45" ht="50.1" customHeight="1" spans="1:45">
      <c r="A45" s="173" t="s">
        <v>94</v>
      </c>
      <c r="B45" s="174">
        <v>-35044</v>
      </c>
      <c r="C45" s="169"/>
      <c r="D45" s="174">
        <v>-38925</v>
      </c>
      <c r="E45" s="169"/>
      <c r="F45" s="174">
        <f>-32158-3500-1024-960-7015-3780-203-2200-220-500</f>
        <v>-51560</v>
      </c>
      <c r="G45" s="169"/>
      <c r="H45" s="174">
        <v>-52130</v>
      </c>
      <c r="I45" s="169"/>
      <c r="J45" s="188">
        <f>-36000-3500-1024-960-7015-3780-203-2200-220-500</f>
        <v>-55402</v>
      </c>
      <c r="K45" s="189">
        <f t="shared" si="0"/>
        <v>-3842</v>
      </c>
      <c r="L45" s="183"/>
      <c r="M45" s="183"/>
      <c r="P45" s="191"/>
      <c r="Q45" s="191"/>
      <c r="R45" s="191"/>
      <c r="AS45" s="200"/>
    </row>
    <row r="46" ht="24.95" customHeight="1" spans="1:45">
      <c r="A46" s="176" t="s">
        <v>95</v>
      </c>
      <c r="B46" s="174"/>
      <c r="C46" s="169"/>
      <c r="D46" s="174"/>
      <c r="E46" s="169"/>
      <c r="F46" s="174"/>
      <c r="G46" s="169"/>
      <c r="H46" s="177"/>
      <c r="I46" s="169"/>
      <c r="J46" s="188"/>
      <c r="K46" s="189">
        <f t="shared" si="0"/>
        <v>0</v>
      </c>
      <c r="L46" s="183"/>
      <c r="M46" s="183"/>
      <c r="P46" s="191"/>
      <c r="Q46" s="191"/>
      <c r="R46" s="191"/>
      <c r="AS46" s="200"/>
    </row>
    <row r="47" ht="24.95" customHeight="1" spans="1:45">
      <c r="A47" s="178" t="s">
        <v>96</v>
      </c>
      <c r="B47" s="174">
        <v>2970</v>
      </c>
      <c r="C47" s="169"/>
      <c r="D47" s="174">
        <v>3542</v>
      </c>
      <c r="E47" s="169"/>
      <c r="F47" s="174"/>
      <c r="G47" s="169"/>
      <c r="H47" s="177"/>
      <c r="I47" s="169"/>
      <c r="J47" s="188">
        <f>57698-7231-12870</f>
        <v>37597</v>
      </c>
      <c r="K47" s="189">
        <f t="shared" si="0"/>
        <v>37597</v>
      </c>
      <c r="L47" s="183"/>
      <c r="M47" s="183"/>
      <c r="P47" s="191"/>
      <c r="Q47" s="191"/>
      <c r="R47" s="191"/>
      <c r="AS47" s="200"/>
    </row>
    <row r="48" ht="24.95" customHeight="1" spans="1:45">
      <c r="A48" s="178" t="s">
        <v>97</v>
      </c>
      <c r="B48" s="174">
        <v>-3542</v>
      </c>
      <c r="C48" s="169"/>
      <c r="D48" s="174">
        <v>-11084</v>
      </c>
      <c r="E48" s="169"/>
      <c r="F48" s="174"/>
      <c r="G48" s="169"/>
      <c r="H48" s="174">
        <f>-69534+7231</f>
        <v>-62303</v>
      </c>
      <c r="I48" s="169"/>
      <c r="J48" s="188"/>
      <c r="K48" s="189">
        <f t="shared" si="0"/>
        <v>0</v>
      </c>
      <c r="L48" s="183"/>
      <c r="M48" s="183"/>
      <c r="P48" s="191"/>
      <c r="Q48" s="191"/>
      <c r="R48" s="191"/>
      <c r="AS48" s="200"/>
    </row>
    <row r="49" ht="24.95" customHeight="1" spans="1:45">
      <c r="A49" s="170" t="s">
        <v>98</v>
      </c>
      <c r="B49" s="172">
        <f>B5</f>
        <v>725422</v>
      </c>
      <c r="C49" s="169"/>
      <c r="D49" s="172">
        <f>SUM(D5)</f>
        <v>771823.74</v>
      </c>
      <c r="E49" s="169"/>
      <c r="F49" s="172">
        <f>SUM(F5)</f>
        <v>854098.8</v>
      </c>
      <c r="G49" s="169"/>
      <c r="H49" s="172">
        <f>SUM(H5)</f>
        <v>902024.11</v>
      </c>
      <c r="I49" s="169"/>
      <c r="J49" s="186">
        <f>SUM(J5)</f>
        <v>865473</v>
      </c>
      <c r="K49" s="187">
        <f t="shared" si="0"/>
        <v>11374.2</v>
      </c>
      <c r="L49" s="183"/>
      <c r="M49" s="192" t="s">
        <v>99</v>
      </c>
      <c r="N49" s="193" t="s">
        <v>100</v>
      </c>
      <c r="O49" s="193" t="s">
        <v>101</v>
      </c>
      <c r="P49" s="193" t="s">
        <v>102</v>
      </c>
      <c r="Q49" s="193" t="s">
        <v>103</v>
      </c>
      <c r="R49" s="193" t="s">
        <v>99</v>
      </c>
      <c r="AS49" s="200"/>
    </row>
    <row r="50" ht="24.95" customHeight="1" spans="1:45">
      <c r="A50" s="179" t="s">
        <v>104</v>
      </c>
      <c r="B50" s="174">
        <f>B49-B51</f>
        <v>613515</v>
      </c>
      <c r="C50" s="169"/>
      <c r="D50" s="174">
        <f>SUM(D5-D51)</f>
        <v>642683.74</v>
      </c>
      <c r="E50" s="169"/>
      <c r="F50" s="174">
        <f>SUM(F5-F51)</f>
        <v>724068.3</v>
      </c>
      <c r="G50" s="169"/>
      <c r="H50" s="174">
        <f>SUM(H5-H51)</f>
        <v>757049.11</v>
      </c>
      <c r="I50" s="169"/>
      <c r="J50" s="188">
        <f>SUM(J5-J51)</f>
        <v>722233.5</v>
      </c>
      <c r="K50" s="189">
        <f t="shared" si="0"/>
        <v>-1834.80000000005</v>
      </c>
      <c r="L50" s="183"/>
      <c r="M50" s="192" t="s">
        <v>105</v>
      </c>
      <c r="N50" s="194" t="e">
        <f>O50+P50</f>
        <v>#REF!</v>
      </c>
      <c r="O50" s="194">
        <f>J49</f>
        <v>865473</v>
      </c>
      <c r="P50" s="194" t="e">
        <f>'5'!#REF!</f>
        <v>#REF!</v>
      </c>
      <c r="Q50" s="194">
        <v>844600</v>
      </c>
      <c r="R50" s="199" t="e">
        <f>Q50/N50*100</f>
        <v>#REF!</v>
      </c>
      <c r="AS50" s="200"/>
    </row>
    <row r="51" s="159" customFormat="1" ht="60" customHeight="1" spans="1:45">
      <c r="A51" s="180" t="s">
        <v>106</v>
      </c>
      <c r="B51" s="181">
        <f>97531+14704-328</f>
        <v>111907</v>
      </c>
      <c r="C51" s="182"/>
      <c r="D51" s="181">
        <v>129140</v>
      </c>
      <c r="E51" s="182"/>
      <c r="F51" s="181">
        <f>129140-1900+1215+937+500+200+81.5+1800*0.45+600*0.29+1423+800+1000-4700+350</f>
        <v>130030.5</v>
      </c>
      <c r="G51" s="182"/>
      <c r="H51" s="181">
        <v>144975</v>
      </c>
      <c r="I51" s="182"/>
      <c r="J51" s="195">
        <f>130031-937-500-200-81.5-1423-350+4700-2000+800+13200</f>
        <v>143239.5</v>
      </c>
      <c r="K51" s="196">
        <f t="shared" si="0"/>
        <v>13209</v>
      </c>
      <c r="L51" s="190"/>
      <c r="M51" s="192" t="s">
        <v>107</v>
      </c>
      <c r="N51" s="194" t="e">
        <f>O51+P51</f>
        <v>#REF!</v>
      </c>
      <c r="O51" s="197">
        <f>O50</f>
        <v>865473</v>
      </c>
      <c r="P51" s="197" t="e">
        <f>P50</f>
        <v>#REF!</v>
      </c>
      <c r="Q51" s="197">
        <f>Q50+70000</f>
        <v>914600</v>
      </c>
      <c r="R51" s="199" t="e">
        <f>Q51/N51*100</f>
        <v>#REF!</v>
      </c>
      <c r="AS51" s="200"/>
    </row>
    <row r="52" ht="15" customHeight="1" spans="1:30">
      <c r="A52" s="162"/>
      <c r="AD52" s="200"/>
    </row>
    <row r="53" ht="24" customHeight="1" spans="1:30">
      <c r="A53" s="162"/>
      <c r="D53" s="159"/>
      <c r="F53" s="183"/>
      <c r="G53" s="183"/>
      <c r="H53" s="183"/>
      <c r="I53" s="183"/>
      <c r="J53" s="183"/>
      <c r="K53" s="159"/>
      <c r="AD53" s="200"/>
    </row>
    <row r="54" ht="24" customHeight="1" spans="1:30">
      <c r="A54" s="162"/>
      <c r="D54" s="183"/>
      <c r="F54" s="183"/>
      <c r="G54" s="183"/>
      <c r="H54" s="183"/>
      <c r="I54" s="183"/>
      <c r="J54" s="183"/>
      <c r="K54" s="183"/>
      <c r="AD54" s="200"/>
    </row>
    <row r="55" ht="24" customHeight="1" spans="1:30">
      <c r="A55" s="162"/>
      <c r="D55" s="183"/>
      <c r="J55" s="183"/>
      <c r="K55" s="183"/>
      <c r="AD55" s="200"/>
    </row>
    <row r="56" spans="30:30">
      <c r="AD56" s="200"/>
    </row>
    <row r="57" spans="30:30">
      <c r="AD57" s="200"/>
    </row>
    <row r="58" spans="30:30">
      <c r="AD58" s="200"/>
    </row>
    <row r="59" spans="30:30">
      <c r="AD59" s="200"/>
    </row>
    <row r="60" spans="30:30">
      <c r="AD60" s="200"/>
    </row>
    <row r="61" spans="30:30">
      <c r="AD61" s="200"/>
    </row>
    <row r="62" spans="30:30">
      <c r="AD62" s="200"/>
    </row>
    <row r="63" spans="30:30">
      <c r="AD63" s="200"/>
    </row>
    <row r="64" spans="30:30">
      <c r="AD64" s="200"/>
    </row>
    <row r="65" spans="30:30">
      <c r="AD65" s="200"/>
    </row>
    <row r="66" spans="30:30">
      <c r="AD66" s="200"/>
    </row>
    <row r="67" spans="30:30">
      <c r="AD67" s="200"/>
    </row>
    <row r="68" spans="30:30">
      <c r="AD68" s="200"/>
    </row>
    <row r="69" spans="30:30">
      <c r="AD69" s="200"/>
    </row>
    <row r="70" spans="30:30">
      <c r="AD70" s="200"/>
    </row>
  </sheetData>
  <mergeCells count="12">
    <mergeCell ref="A1:K1"/>
    <mergeCell ref="J3:K3"/>
    <mergeCell ref="P45:R45"/>
    <mergeCell ref="A3:A4"/>
    <mergeCell ref="B3:B4"/>
    <mergeCell ref="C3:C51"/>
    <mergeCell ref="D3:D4"/>
    <mergeCell ref="E3:E51"/>
    <mergeCell ref="F3:F4"/>
    <mergeCell ref="G3:G51"/>
    <mergeCell ref="H3:H4"/>
    <mergeCell ref="I3:I51"/>
  </mergeCells>
  <printOptions horizontalCentered="1"/>
  <pageMargins left="0.393055555555556" right="0.393055555555556" top="0.393055555555556" bottom="0.393055555555556" header="0.313888888888889" footer="0.196527777777778"/>
  <pageSetup paperSize="8" firstPageNumber="2" fitToHeight="0" orientation="landscape" useFirstPageNumber="1"/>
  <headerFooter>
    <oddFooter>&amp;C第 &amp;P 页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6" tint="0.799768059327982"/>
    <pageSetUpPr fitToPage="1"/>
  </sheetPr>
  <dimension ref="A1:N81"/>
  <sheetViews>
    <sheetView showGridLines="0" showZeros="0" zoomScale="85" zoomScaleNormal="85" workbookViewId="0">
      <pane xSplit="1" ySplit="4" topLeftCell="D68" activePane="bottomRight" state="frozen"/>
      <selection/>
      <selection pane="topRight"/>
      <selection pane="bottomLeft"/>
      <selection pane="bottomRight" activeCell="L69" sqref="L69"/>
    </sheetView>
  </sheetViews>
  <sheetFormatPr defaultColWidth="9" defaultRowHeight="13.5"/>
  <cols>
    <col min="1" max="1" width="34.125" style="116" customWidth="1"/>
    <col min="2" max="2" width="12.625" style="117" hidden="1" customWidth="1"/>
    <col min="3" max="3" width="1.625" style="117" hidden="1" customWidth="1"/>
    <col min="4" max="4" width="12.625" style="117" customWidth="1"/>
    <col min="5" max="5" width="1.625" style="117" customWidth="1"/>
    <col min="6" max="6" width="12.625" style="117" customWidth="1"/>
    <col min="7" max="7" width="1.625" style="117" customWidth="1"/>
    <col min="8" max="8" width="12.625" style="117" customWidth="1"/>
    <col min="9" max="9" width="1.625" style="117" customWidth="1"/>
    <col min="10" max="14" width="12.625" style="117" customWidth="1"/>
    <col min="15" max="15" width="1.375" style="116" customWidth="1"/>
    <col min="16" max="16384" width="9" style="116"/>
  </cols>
  <sheetData>
    <row r="1" ht="35.1" customHeight="1" spans="1:14">
      <c r="A1" s="273" t="s">
        <v>108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ht="21" customHeight="1" spans="1:14">
      <c r="A2" s="115" t="s">
        <v>1</v>
      </c>
      <c r="B2" s="118"/>
      <c r="C2" s="118"/>
      <c r="D2" s="118"/>
      <c r="E2" s="118"/>
      <c r="F2" s="118"/>
      <c r="G2" s="119"/>
      <c r="H2" s="119"/>
      <c r="I2" s="119"/>
      <c r="J2" s="119"/>
      <c r="N2" s="117" t="s">
        <v>2</v>
      </c>
    </row>
    <row r="3" ht="30" customHeight="1" spans="1:14">
      <c r="A3" s="120" t="s">
        <v>109</v>
      </c>
      <c r="B3" s="121" t="s">
        <v>50</v>
      </c>
      <c r="C3" s="121"/>
      <c r="D3" s="122" t="s">
        <v>110</v>
      </c>
      <c r="E3" s="121"/>
      <c r="F3" s="123" t="s">
        <v>6</v>
      </c>
      <c r="G3" s="121"/>
      <c r="H3" s="121" t="s">
        <v>7</v>
      </c>
      <c r="I3" s="121"/>
      <c r="J3" s="123" t="s">
        <v>111</v>
      </c>
      <c r="K3" s="123"/>
      <c r="L3" s="123"/>
      <c r="M3" s="123"/>
      <c r="N3" s="123"/>
    </row>
    <row r="4" ht="30" customHeight="1" spans="1:14">
      <c r="A4" s="120"/>
      <c r="B4" s="124"/>
      <c r="C4" s="124"/>
      <c r="D4" s="125"/>
      <c r="E4" s="124"/>
      <c r="F4" s="123"/>
      <c r="G4" s="124"/>
      <c r="H4" s="124"/>
      <c r="I4" s="124"/>
      <c r="J4" s="123" t="s">
        <v>53</v>
      </c>
      <c r="K4" s="123" t="s">
        <v>112</v>
      </c>
      <c r="L4" s="123" t="s">
        <v>113</v>
      </c>
      <c r="M4" s="123" t="s">
        <v>114</v>
      </c>
      <c r="N4" s="123" t="s">
        <v>11</v>
      </c>
    </row>
    <row r="5" ht="27" customHeight="1" spans="1:14">
      <c r="A5" s="274" t="s">
        <v>115</v>
      </c>
      <c r="B5" s="127" t="e">
        <f>SUM(B6,B46,B67,B68:B70,B73,B74,B79)</f>
        <v>#REF!</v>
      </c>
      <c r="C5" s="124"/>
      <c r="D5" s="127">
        <f>SUM(D6,D46,D67,D68:D70,D73,D74,D79)</f>
        <v>612356</v>
      </c>
      <c r="E5" s="124"/>
      <c r="F5" s="128">
        <f>SUM(F6,F46,F67,F68:F70,F73,F74,F79)</f>
        <v>724068.399864097</v>
      </c>
      <c r="G5" s="124"/>
      <c r="H5" s="129">
        <f>SUM(H6,H46,H67,H68:H70,H73,H74,H79)</f>
        <v>687515</v>
      </c>
      <c r="I5" s="142"/>
      <c r="J5" s="143">
        <f>K5+L5+M5</f>
        <v>722233.8214</v>
      </c>
      <c r="K5" s="144">
        <f>K6+K46++K67+K68+K69+K70+K73+K74+K79</f>
        <v>384366.8214</v>
      </c>
      <c r="L5" s="144">
        <f>L6+L46++L67+L68+L69+L70+L73+L74+L79</f>
        <v>337867</v>
      </c>
      <c r="M5" s="144">
        <f>M6+M46++M67+M68+M69+M70+M73+M74+M79</f>
        <v>0</v>
      </c>
      <c r="N5" s="145">
        <f>J5-F5</f>
        <v>-1834.57846409699</v>
      </c>
    </row>
    <row r="6" ht="27" customHeight="1" spans="1:14">
      <c r="A6" s="275" t="s">
        <v>116</v>
      </c>
      <c r="B6" s="131">
        <f>SUM(B7,B18,B25,B36)</f>
        <v>237310</v>
      </c>
      <c r="C6" s="124"/>
      <c r="D6" s="131">
        <f>D7+D18+D25+D36</f>
        <v>269073</v>
      </c>
      <c r="E6" s="124"/>
      <c r="F6" s="131">
        <f>F7+F18+F25+F36</f>
        <v>297001.037335097</v>
      </c>
      <c r="G6" s="124"/>
      <c r="H6" s="132">
        <f>H7+H18+H25+H36</f>
        <v>257353</v>
      </c>
      <c r="I6" s="142"/>
      <c r="J6" s="146">
        <f t="shared" ref="J6:J66" si="0">K6+L6+M6</f>
        <v>304648.8214</v>
      </c>
      <c r="K6" s="147">
        <f>K7+K18+K25+K36</f>
        <v>268708.8214</v>
      </c>
      <c r="L6" s="147">
        <f>L7+L18+L25+L36</f>
        <v>35940</v>
      </c>
      <c r="M6" s="147">
        <f>M7+M18+M25+M36</f>
        <v>0</v>
      </c>
      <c r="N6" s="148">
        <f t="shared" ref="N6:N66" si="1">J6-F6</f>
        <v>7647.78406490327</v>
      </c>
    </row>
    <row r="7" ht="27" customHeight="1" spans="1:14">
      <c r="A7" s="133" t="s">
        <v>117</v>
      </c>
      <c r="B7" s="131">
        <f>SUM(B8:B17)</f>
        <v>149882</v>
      </c>
      <c r="C7" s="124"/>
      <c r="D7" s="131">
        <f>SUM(D8:D17)</f>
        <v>176465</v>
      </c>
      <c r="E7" s="124"/>
      <c r="F7" s="131">
        <f>SUM(F8:F17)</f>
        <v>193148.335567667</v>
      </c>
      <c r="G7" s="124"/>
      <c r="H7" s="132">
        <f>SUM(H8:H17)</f>
        <v>175747</v>
      </c>
      <c r="I7" s="142"/>
      <c r="J7" s="146">
        <f t="shared" si="0"/>
        <v>203937.8214</v>
      </c>
      <c r="K7" s="147">
        <f>SUM(K8:K17)</f>
        <v>174797.8214</v>
      </c>
      <c r="L7" s="147">
        <f>SUM(L8:L17)</f>
        <v>29140</v>
      </c>
      <c r="M7" s="147">
        <f>SUM(M8:M17)</f>
        <v>0</v>
      </c>
      <c r="N7" s="148">
        <f t="shared" si="1"/>
        <v>10789.4858323333</v>
      </c>
    </row>
    <row r="8" ht="27" customHeight="1" spans="1:14">
      <c r="A8" s="134" t="s">
        <v>118</v>
      </c>
      <c r="B8" s="131">
        <v>51137</v>
      </c>
      <c r="C8" s="124"/>
      <c r="D8" s="131">
        <v>49359</v>
      </c>
      <c r="E8" s="124"/>
      <c r="F8" s="131">
        <v>53878.1077115</v>
      </c>
      <c r="G8" s="124"/>
      <c r="H8" s="132">
        <v>53407</v>
      </c>
      <c r="I8" s="142"/>
      <c r="J8" s="146">
        <f t="shared" si="0"/>
        <v>52039</v>
      </c>
      <c r="K8" s="147">
        <v>52039</v>
      </c>
      <c r="L8" s="147"/>
      <c r="M8" s="147"/>
      <c r="N8" s="148">
        <f t="shared" si="1"/>
        <v>-1839.1077115</v>
      </c>
    </row>
    <row r="9" ht="27" customHeight="1" spans="1:14">
      <c r="A9" s="134" t="s">
        <v>119</v>
      </c>
      <c r="B9" s="131">
        <v>17616</v>
      </c>
      <c r="C9" s="124"/>
      <c r="D9" s="131">
        <f>11+24135+1408</f>
        <v>25554</v>
      </c>
      <c r="E9" s="124"/>
      <c r="F9" s="131">
        <v>15911.6195225</v>
      </c>
      <c r="G9" s="124"/>
      <c r="H9" s="132">
        <v>15305</v>
      </c>
      <c r="I9" s="142"/>
      <c r="J9" s="146">
        <f t="shared" si="0"/>
        <v>15547</v>
      </c>
      <c r="K9" s="147">
        <v>14747</v>
      </c>
      <c r="L9" s="147">
        <v>800</v>
      </c>
      <c r="M9" s="147"/>
      <c r="N9" s="148">
        <f t="shared" si="1"/>
        <v>-364.619522499999</v>
      </c>
    </row>
    <row r="10" ht="27" customHeight="1" spans="1:14">
      <c r="A10" s="134" t="s">
        <v>120</v>
      </c>
      <c r="B10" s="131">
        <v>31889</v>
      </c>
      <c r="C10" s="124"/>
      <c r="D10" s="131">
        <v>35591</v>
      </c>
      <c r="E10" s="124"/>
      <c r="F10" s="131">
        <v>34382.9570166667</v>
      </c>
      <c r="G10" s="124"/>
      <c r="H10" s="132">
        <v>33284</v>
      </c>
      <c r="I10" s="142"/>
      <c r="J10" s="146">
        <f t="shared" si="0"/>
        <v>32960</v>
      </c>
      <c r="K10" s="147">
        <v>32960</v>
      </c>
      <c r="L10" s="147"/>
      <c r="M10" s="147"/>
      <c r="N10" s="148">
        <f t="shared" si="1"/>
        <v>-1422.9570166667</v>
      </c>
    </row>
    <row r="11" ht="27" customHeight="1" spans="1:14">
      <c r="A11" s="134" t="s">
        <v>121</v>
      </c>
      <c r="B11" s="131">
        <v>1162</v>
      </c>
      <c r="C11" s="124"/>
      <c r="D11" s="131">
        <v>1566</v>
      </c>
      <c r="E11" s="124"/>
      <c r="F11" s="131">
        <v>2204.8961</v>
      </c>
      <c r="G11" s="124"/>
      <c r="H11" s="132">
        <v>1436</v>
      </c>
      <c r="I11" s="142"/>
      <c r="J11" s="146">
        <f t="shared" si="0"/>
        <v>1359.8214</v>
      </c>
      <c r="K11" s="147">
        <v>1359.8214</v>
      </c>
      <c r="L11" s="147"/>
      <c r="M11" s="147"/>
      <c r="N11" s="148">
        <f t="shared" si="1"/>
        <v>-845.0747</v>
      </c>
    </row>
    <row r="12" ht="27" customHeight="1" spans="1:14">
      <c r="A12" s="134" t="s">
        <v>122</v>
      </c>
      <c r="B12" s="131">
        <v>245</v>
      </c>
      <c r="C12" s="124"/>
      <c r="D12" s="131">
        <v>234</v>
      </c>
      <c r="E12" s="124"/>
      <c r="F12" s="131">
        <v>178.66644</v>
      </c>
      <c r="G12" s="124"/>
      <c r="H12" s="132">
        <v>123</v>
      </c>
      <c r="I12" s="142"/>
      <c r="J12" s="146">
        <f t="shared" si="0"/>
        <v>188</v>
      </c>
      <c r="K12" s="147">
        <v>188</v>
      </c>
      <c r="L12" s="147"/>
      <c r="M12" s="147"/>
      <c r="N12" s="148">
        <f t="shared" si="1"/>
        <v>9.33356000000001</v>
      </c>
    </row>
    <row r="13" ht="27" customHeight="1" spans="1:14">
      <c r="A13" s="134" t="s">
        <v>123</v>
      </c>
      <c r="B13" s="131">
        <v>2025</v>
      </c>
      <c r="C13" s="124"/>
      <c r="D13" s="131">
        <v>0</v>
      </c>
      <c r="E13" s="124"/>
      <c r="F13" s="131">
        <v>2028.6297</v>
      </c>
      <c r="G13" s="124"/>
      <c r="H13" s="132">
        <v>2012</v>
      </c>
      <c r="I13" s="142"/>
      <c r="J13" s="146">
        <f t="shared" si="0"/>
        <v>2032</v>
      </c>
      <c r="K13" s="147">
        <v>1732</v>
      </c>
      <c r="L13" s="147">
        <v>300</v>
      </c>
      <c r="M13" s="147"/>
      <c r="N13" s="148">
        <f t="shared" si="1"/>
        <v>3.37030000000004</v>
      </c>
    </row>
    <row r="14" ht="27" customHeight="1" spans="1:14">
      <c r="A14" s="135" t="s">
        <v>124</v>
      </c>
      <c r="B14" s="131">
        <v>20359</v>
      </c>
      <c r="C14" s="124"/>
      <c r="D14" s="131">
        <v>38350</v>
      </c>
      <c r="E14" s="124"/>
      <c r="F14" s="131">
        <v>48214.4</v>
      </c>
      <c r="G14" s="124"/>
      <c r="H14" s="132">
        <v>49919</v>
      </c>
      <c r="I14" s="142"/>
      <c r="J14" s="146">
        <f t="shared" si="0"/>
        <v>48644</v>
      </c>
      <c r="K14" s="147">
        <v>48644</v>
      </c>
      <c r="L14" s="147"/>
      <c r="M14" s="147"/>
      <c r="N14" s="148">
        <f t="shared" si="1"/>
        <v>429.599999999999</v>
      </c>
    </row>
    <row r="15" ht="27" customHeight="1" spans="1:14">
      <c r="A15" s="135" t="s">
        <v>125</v>
      </c>
      <c r="B15" s="131">
        <v>22745</v>
      </c>
      <c r="C15" s="124"/>
      <c r="D15" s="131">
        <v>23511</v>
      </c>
      <c r="E15" s="124"/>
      <c r="F15" s="131">
        <v>22785.9654</v>
      </c>
      <c r="G15" s="124"/>
      <c r="H15" s="132">
        <v>18441</v>
      </c>
      <c r="I15" s="142"/>
      <c r="J15" s="146">
        <f t="shared" si="0"/>
        <v>23121</v>
      </c>
      <c r="K15" s="147">
        <v>23121</v>
      </c>
      <c r="L15" s="147"/>
      <c r="M15" s="147"/>
      <c r="N15" s="148">
        <f t="shared" si="1"/>
        <v>335.034599999999</v>
      </c>
    </row>
    <row r="16" ht="27" customHeight="1" spans="1:14">
      <c r="A16" s="276" t="s">
        <v>126</v>
      </c>
      <c r="B16" s="131">
        <v>2344</v>
      </c>
      <c r="C16" s="124"/>
      <c r="D16" s="131">
        <v>2300</v>
      </c>
      <c r="E16" s="124"/>
      <c r="F16" s="131">
        <v>7417.093677</v>
      </c>
      <c r="G16" s="124"/>
      <c r="H16" s="132">
        <v>1815</v>
      </c>
      <c r="I16" s="142"/>
      <c r="J16" s="146">
        <f t="shared" si="0"/>
        <v>28040</v>
      </c>
      <c r="K16" s="147"/>
      <c r="L16" s="147">
        <f>(1.55-0.22)*10000+0.22*5000+5000+(15500-2200)*500*12/10000+2200*500*12*0.5/10000</f>
        <v>28040</v>
      </c>
      <c r="M16" s="147"/>
      <c r="N16" s="148">
        <f t="shared" si="1"/>
        <v>20622.906323</v>
      </c>
    </row>
    <row r="17" ht="27" customHeight="1" spans="1:14">
      <c r="A17" s="136" t="s">
        <v>127</v>
      </c>
      <c r="B17" s="131">
        <v>360</v>
      </c>
      <c r="C17" s="124"/>
      <c r="D17" s="131"/>
      <c r="E17" s="124"/>
      <c r="F17" s="131">
        <v>6146</v>
      </c>
      <c r="G17" s="124"/>
      <c r="H17" s="132">
        <v>5</v>
      </c>
      <c r="I17" s="142"/>
      <c r="J17" s="146">
        <f t="shared" si="0"/>
        <v>7</v>
      </c>
      <c r="K17" s="147">
        <v>7</v>
      </c>
      <c r="L17" s="147"/>
      <c r="M17" s="147"/>
      <c r="N17" s="148">
        <f t="shared" si="1"/>
        <v>-6139</v>
      </c>
    </row>
    <row r="18" ht="27" customHeight="1" spans="1:14">
      <c r="A18" s="277" t="s">
        <v>128</v>
      </c>
      <c r="B18" s="131">
        <f>SUM(B19:B24)</f>
        <v>51818</v>
      </c>
      <c r="C18" s="124"/>
      <c r="D18" s="131">
        <f>SUM(D19:D24)</f>
        <v>55278</v>
      </c>
      <c r="E18" s="124"/>
      <c r="F18" s="131">
        <f>SUM(F19:F24)</f>
        <v>69732.32196543</v>
      </c>
      <c r="G18" s="124"/>
      <c r="H18" s="132">
        <f>SUM(H19:H24)</f>
        <v>48058</v>
      </c>
      <c r="I18" s="142"/>
      <c r="J18" s="146">
        <f t="shared" si="0"/>
        <v>54469</v>
      </c>
      <c r="K18" s="147">
        <f>SUM(K19:K24)</f>
        <v>49469</v>
      </c>
      <c r="L18" s="147">
        <f t="shared" ref="L18:M18" si="2">SUM(L19:L24)</f>
        <v>5000</v>
      </c>
      <c r="M18" s="147">
        <f t="shared" si="2"/>
        <v>0</v>
      </c>
      <c r="N18" s="148">
        <f t="shared" si="1"/>
        <v>-15263.32196543</v>
      </c>
    </row>
    <row r="19" ht="27" customHeight="1" spans="1:14">
      <c r="A19" s="138" t="s">
        <v>129</v>
      </c>
      <c r="B19" s="131">
        <v>13175</v>
      </c>
      <c r="C19" s="124"/>
      <c r="D19" s="131">
        <v>13855</v>
      </c>
      <c r="E19" s="124"/>
      <c r="F19" s="131">
        <v>14381.68165795</v>
      </c>
      <c r="G19" s="124"/>
      <c r="H19" s="132">
        <v>13094</v>
      </c>
      <c r="I19" s="142"/>
      <c r="J19" s="146">
        <f t="shared" si="0"/>
        <v>18609</v>
      </c>
      <c r="K19" s="147">
        <v>13609</v>
      </c>
      <c r="L19" s="147">
        <v>5000</v>
      </c>
      <c r="M19" s="147"/>
      <c r="N19" s="148">
        <f t="shared" si="1"/>
        <v>4227.31834205</v>
      </c>
    </row>
    <row r="20" ht="27" customHeight="1" spans="1:14">
      <c r="A20" s="138" t="s">
        <v>130</v>
      </c>
      <c r="B20" s="131">
        <v>294</v>
      </c>
      <c r="C20" s="124"/>
      <c r="D20" s="131">
        <v>309</v>
      </c>
      <c r="E20" s="124"/>
      <c r="F20" s="131">
        <v>332.23847983</v>
      </c>
      <c r="G20" s="124"/>
      <c r="H20" s="132">
        <v>310</v>
      </c>
      <c r="I20" s="142"/>
      <c r="J20" s="146">
        <f t="shared" si="0"/>
        <v>305</v>
      </c>
      <c r="K20" s="147">
        <v>305</v>
      </c>
      <c r="L20" s="147"/>
      <c r="M20" s="147"/>
      <c r="N20" s="148">
        <f t="shared" si="1"/>
        <v>-27.23847983</v>
      </c>
    </row>
    <row r="21" ht="27" customHeight="1" spans="1:14">
      <c r="A21" s="138" t="s">
        <v>131</v>
      </c>
      <c r="B21" s="131">
        <v>491</v>
      </c>
      <c r="C21" s="124"/>
      <c r="D21" s="131">
        <v>521</v>
      </c>
      <c r="E21" s="124"/>
      <c r="F21" s="131">
        <v>555.09083205</v>
      </c>
      <c r="G21" s="124"/>
      <c r="H21" s="132">
        <v>422</v>
      </c>
      <c r="I21" s="142"/>
      <c r="J21" s="146">
        <f t="shared" si="0"/>
        <v>509</v>
      </c>
      <c r="K21" s="147">
        <v>509</v>
      </c>
      <c r="L21" s="147"/>
      <c r="M21" s="147"/>
      <c r="N21" s="148">
        <f t="shared" si="1"/>
        <v>-46.09083205</v>
      </c>
    </row>
    <row r="22" ht="27" customHeight="1" spans="1:14">
      <c r="A22" s="138" t="s">
        <v>132</v>
      </c>
      <c r="B22" s="131">
        <v>19663</v>
      </c>
      <c r="C22" s="124"/>
      <c r="D22" s="131">
        <v>20608</v>
      </c>
      <c r="E22" s="124"/>
      <c r="F22" s="131">
        <v>17355.7435238</v>
      </c>
      <c r="G22" s="124"/>
      <c r="H22" s="132">
        <v>15384</v>
      </c>
      <c r="I22" s="142"/>
      <c r="J22" s="146">
        <f t="shared" si="0"/>
        <v>15896</v>
      </c>
      <c r="K22" s="147">
        <v>15896</v>
      </c>
      <c r="L22" s="147"/>
      <c r="M22" s="147"/>
      <c r="N22" s="148">
        <f t="shared" si="1"/>
        <v>-1459.7435238</v>
      </c>
    </row>
    <row r="23" ht="27" customHeight="1" spans="1:14">
      <c r="A23" s="138" t="s">
        <v>133</v>
      </c>
      <c r="B23" s="131">
        <v>10850</v>
      </c>
      <c r="C23" s="124"/>
      <c r="D23" s="131">
        <v>11751</v>
      </c>
      <c r="E23" s="124"/>
      <c r="F23" s="131">
        <v>12283.9378692</v>
      </c>
      <c r="G23" s="124"/>
      <c r="H23" s="132">
        <v>11043</v>
      </c>
      <c r="I23" s="142"/>
      <c r="J23" s="146">
        <f t="shared" si="0"/>
        <v>11202</v>
      </c>
      <c r="K23" s="147">
        <v>11202</v>
      </c>
      <c r="L23" s="147"/>
      <c r="M23" s="147"/>
      <c r="N23" s="148">
        <f t="shared" si="1"/>
        <v>-1081.9378692</v>
      </c>
    </row>
    <row r="24" ht="27" customHeight="1" spans="1:14">
      <c r="A24" s="138" t="s">
        <v>134</v>
      </c>
      <c r="B24" s="131">
        <v>7345</v>
      </c>
      <c r="C24" s="124"/>
      <c r="D24" s="131">
        <f>24381-16147</f>
        <v>8234</v>
      </c>
      <c r="E24" s="124"/>
      <c r="F24" s="131">
        <v>24823.6296026</v>
      </c>
      <c r="G24" s="124"/>
      <c r="H24" s="132">
        <v>7805</v>
      </c>
      <c r="I24" s="142"/>
      <c r="J24" s="146">
        <f t="shared" si="0"/>
        <v>7948</v>
      </c>
      <c r="K24" s="147">
        <v>7948</v>
      </c>
      <c r="L24" s="147"/>
      <c r="M24" s="147"/>
      <c r="N24" s="148">
        <f t="shared" si="1"/>
        <v>-16875.6296026</v>
      </c>
    </row>
    <row r="25" ht="27" customHeight="1" spans="1:14">
      <c r="A25" s="277" t="s">
        <v>135</v>
      </c>
      <c r="B25" s="131">
        <f>SUM(B26:B35)</f>
        <v>13347</v>
      </c>
      <c r="C25" s="124"/>
      <c r="D25" s="131">
        <f>SUM(D26:D35)</f>
        <v>13962</v>
      </c>
      <c r="E25" s="124"/>
      <c r="F25" s="131">
        <f>SUM(F26:F35)</f>
        <v>10147.579248</v>
      </c>
      <c r="G25" s="124"/>
      <c r="H25" s="132">
        <f>SUM(H26:H35)</f>
        <v>9961</v>
      </c>
      <c r="I25" s="142"/>
      <c r="J25" s="146">
        <f t="shared" si="0"/>
        <v>15144</v>
      </c>
      <c r="K25" s="147">
        <f>SUM(K26:K35)</f>
        <v>15144</v>
      </c>
      <c r="L25" s="147">
        <f t="shared" ref="L25:M25" si="3">SUM(L26:L35)</f>
        <v>0</v>
      </c>
      <c r="M25" s="147">
        <f t="shared" si="3"/>
        <v>0</v>
      </c>
      <c r="N25" s="148">
        <f t="shared" si="1"/>
        <v>4996.420752</v>
      </c>
    </row>
    <row r="26" ht="27" customHeight="1" spans="1:14">
      <c r="A26" s="138" t="s">
        <v>136</v>
      </c>
      <c r="B26" s="131">
        <v>564</v>
      </c>
      <c r="C26" s="124"/>
      <c r="D26" s="131">
        <v>709</v>
      </c>
      <c r="E26" s="124"/>
      <c r="F26" s="131">
        <v>478.595648</v>
      </c>
      <c r="G26" s="124"/>
      <c r="H26" s="132">
        <v>483</v>
      </c>
      <c r="I26" s="142"/>
      <c r="J26" s="146">
        <f t="shared" si="0"/>
        <v>480</v>
      </c>
      <c r="K26" s="147">
        <v>480</v>
      </c>
      <c r="L26" s="147"/>
      <c r="M26" s="147"/>
      <c r="N26" s="148">
        <f t="shared" si="1"/>
        <v>1.40435200000002</v>
      </c>
    </row>
    <row r="27" ht="27" customHeight="1" spans="1:14">
      <c r="A27" s="278" t="s">
        <v>137</v>
      </c>
      <c r="B27" s="131">
        <v>2540</v>
      </c>
      <c r="C27" s="124"/>
      <c r="D27" s="131">
        <v>2600</v>
      </c>
      <c r="E27" s="124"/>
      <c r="F27" s="131">
        <v>200</v>
      </c>
      <c r="G27" s="124"/>
      <c r="H27" s="132">
        <v>51</v>
      </c>
      <c r="I27" s="142"/>
      <c r="J27" s="146">
        <f t="shared" si="0"/>
        <v>2700</v>
      </c>
      <c r="K27" s="147">
        <v>2700</v>
      </c>
      <c r="L27" s="147"/>
      <c r="M27" s="147"/>
      <c r="N27" s="148">
        <f t="shared" si="1"/>
        <v>2500</v>
      </c>
    </row>
    <row r="28" ht="27" customHeight="1" spans="1:14">
      <c r="A28" s="278" t="s">
        <v>138</v>
      </c>
      <c r="B28" s="131">
        <v>1900</v>
      </c>
      <c r="C28" s="124"/>
      <c r="D28" s="131">
        <v>2100</v>
      </c>
      <c r="E28" s="124"/>
      <c r="F28" s="131">
        <v>2100</v>
      </c>
      <c r="G28" s="124"/>
      <c r="H28" s="132">
        <v>2100</v>
      </c>
      <c r="I28" s="142"/>
      <c r="J28" s="146">
        <f t="shared" si="0"/>
        <v>2100</v>
      </c>
      <c r="K28" s="147">
        <v>2100</v>
      </c>
      <c r="L28" s="147"/>
      <c r="M28" s="147"/>
      <c r="N28" s="148">
        <f t="shared" si="1"/>
        <v>0</v>
      </c>
    </row>
    <row r="29" ht="27" customHeight="1" spans="1:14">
      <c r="A29" s="278" t="s">
        <v>139</v>
      </c>
      <c r="B29" s="131">
        <v>892</v>
      </c>
      <c r="C29" s="124"/>
      <c r="D29" s="131">
        <v>770</v>
      </c>
      <c r="E29" s="124"/>
      <c r="F29" s="131">
        <v>616.92</v>
      </c>
      <c r="G29" s="124"/>
      <c r="H29" s="132">
        <v>390</v>
      </c>
      <c r="I29" s="142"/>
      <c r="J29" s="146">
        <f t="shared" si="0"/>
        <v>730</v>
      </c>
      <c r="K29" s="147">
        <v>730</v>
      </c>
      <c r="L29" s="147"/>
      <c r="M29" s="147"/>
      <c r="N29" s="148">
        <f t="shared" si="1"/>
        <v>113.08</v>
      </c>
    </row>
    <row r="30" ht="27" customHeight="1" spans="1:14">
      <c r="A30" s="278" t="s">
        <v>140</v>
      </c>
      <c r="B30" s="131">
        <v>1607</v>
      </c>
      <c r="C30" s="124"/>
      <c r="D30" s="131">
        <v>2050</v>
      </c>
      <c r="E30" s="124"/>
      <c r="F30" s="131">
        <v>2220</v>
      </c>
      <c r="G30" s="124"/>
      <c r="H30" s="132">
        <v>2162</v>
      </c>
      <c r="I30" s="142"/>
      <c r="J30" s="146">
        <f t="shared" si="0"/>
        <v>3280</v>
      </c>
      <c r="K30" s="147">
        <v>3280</v>
      </c>
      <c r="L30" s="147"/>
      <c r="M30" s="147"/>
      <c r="N30" s="148">
        <f t="shared" si="1"/>
        <v>1060</v>
      </c>
    </row>
    <row r="31" ht="27" customHeight="1" spans="1:14">
      <c r="A31" s="278" t="s">
        <v>141</v>
      </c>
      <c r="B31" s="131">
        <v>400</v>
      </c>
      <c r="C31" s="124"/>
      <c r="D31" s="131">
        <v>747</v>
      </c>
      <c r="E31" s="124"/>
      <c r="F31" s="131">
        <v>455</v>
      </c>
      <c r="G31" s="124"/>
      <c r="H31" s="132">
        <v>455</v>
      </c>
      <c r="I31" s="142"/>
      <c r="J31" s="146">
        <f t="shared" si="0"/>
        <v>690</v>
      </c>
      <c r="K31" s="147">
        <v>690</v>
      </c>
      <c r="L31" s="147"/>
      <c r="M31" s="147"/>
      <c r="N31" s="148">
        <f t="shared" si="1"/>
        <v>235</v>
      </c>
    </row>
    <row r="32" ht="27" customHeight="1" spans="1:14">
      <c r="A32" s="278" t="s">
        <v>142</v>
      </c>
      <c r="B32" s="131">
        <v>410</v>
      </c>
      <c r="C32" s="124"/>
      <c r="D32" s="131">
        <v>540</v>
      </c>
      <c r="E32" s="124"/>
      <c r="F32" s="131">
        <v>571</v>
      </c>
      <c r="G32" s="124"/>
      <c r="H32" s="132">
        <v>692</v>
      </c>
      <c r="I32" s="142"/>
      <c r="J32" s="146">
        <f t="shared" si="0"/>
        <v>613</v>
      </c>
      <c r="K32" s="147">
        <v>613</v>
      </c>
      <c r="L32" s="147"/>
      <c r="M32" s="147"/>
      <c r="N32" s="148">
        <f t="shared" si="1"/>
        <v>42</v>
      </c>
    </row>
    <row r="33" ht="27" customHeight="1" spans="1:14">
      <c r="A33" s="278" t="s">
        <v>143</v>
      </c>
      <c r="B33" s="131">
        <v>1684</v>
      </c>
      <c r="C33" s="124"/>
      <c r="D33" s="131">
        <v>1710</v>
      </c>
      <c r="E33" s="124"/>
      <c r="F33" s="131">
        <v>1710</v>
      </c>
      <c r="G33" s="124"/>
      <c r="H33" s="132">
        <v>1763</v>
      </c>
      <c r="I33" s="142"/>
      <c r="J33" s="146">
        <f t="shared" si="0"/>
        <v>1710</v>
      </c>
      <c r="K33" s="147">
        <v>1710</v>
      </c>
      <c r="L33" s="147"/>
      <c r="M33" s="147"/>
      <c r="N33" s="148">
        <f t="shared" si="1"/>
        <v>0</v>
      </c>
    </row>
    <row r="34" ht="27" customHeight="1" spans="1:14">
      <c r="A34" s="278" t="s">
        <v>144</v>
      </c>
      <c r="B34" s="131">
        <v>1005</v>
      </c>
      <c r="C34" s="124"/>
      <c r="D34" s="131">
        <v>1252</v>
      </c>
      <c r="E34" s="124"/>
      <c r="F34" s="131">
        <v>451.9936</v>
      </c>
      <c r="G34" s="124"/>
      <c r="H34" s="132">
        <v>452</v>
      </c>
      <c r="I34" s="142"/>
      <c r="J34" s="146">
        <f t="shared" si="0"/>
        <v>1652</v>
      </c>
      <c r="K34" s="147">
        <v>1652</v>
      </c>
      <c r="L34" s="147"/>
      <c r="M34" s="147"/>
      <c r="N34" s="148">
        <f t="shared" si="1"/>
        <v>1200.0064</v>
      </c>
    </row>
    <row r="35" ht="27" customHeight="1" spans="1:14">
      <c r="A35" s="278" t="s">
        <v>145</v>
      </c>
      <c r="B35" s="131">
        <v>2345</v>
      </c>
      <c r="C35" s="124"/>
      <c r="D35" s="131">
        <v>1484</v>
      </c>
      <c r="E35" s="124"/>
      <c r="F35" s="131">
        <v>1344.07</v>
      </c>
      <c r="G35" s="124"/>
      <c r="H35" s="132">
        <v>1413</v>
      </c>
      <c r="I35" s="142"/>
      <c r="J35" s="146">
        <f t="shared" si="0"/>
        <v>1189</v>
      </c>
      <c r="K35" s="147">
        <v>1189</v>
      </c>
      <c r="L35" s="147"/>
      <c r="M35" s="147"/>
      <c r="N35" s="148">
        <f t="shared" si="1"/>
        <v>-155.07</v>
      </c>
    </row>
    <row r="36" ht="27" customHeight="1" spans="1:14">
      <c r="A36" s="277" t="s">
        <v>146</v>
      </c>
      <c r="B36" s="131">
        <f>SUM(B37:B45)</f>
        <v>22263</v>
      </c>
      <c r="C36" s="124"/>
      <c r="D36" s="131">
        <f>SUM(D37:D45)</f>
        <v>23368</v>
      </c>
      <c r="E36" s="124"/>
      <c r="F36" s="131">
        <f>SUM(F37:F45)</f>
        <v>23972.800554</v>
      </c>
      <c r="G36" s="124"/>
      <c r="H36" s="132">
        <f>SUM(H37:H45)</f>
        <v>23587</v>
      </c>
      <c r="I36" s="142"/>
      <c r="J36" s="146">
        <f t="shared" si="0"/>
        <v>31098</v>
      </c>
      <c r="K36" s="147">
        <f>SUM(K37:K45)</f>
        <v>29298</v>
      </c>
      <c r="L36" s="147">
        <f t="shared" ref="L36:M36" si="4">SUM(L37:L45)</f>
        <v>1800</v>
      </c>
      <c r="M36" s="147">
        <f t="shared" si="4"/>
        <v>0</v>
      </c>
      <c r="N36" s="148">
        <f t="shared" si="1"/>
        <v>7125.199446</v>
      </c>
    </row>
    <row r="37" ht="27" customHeight="1" spans="1:14">
      <c r="A37" s="138" t="s">
        <v>147</v>
      </c>
      <c r="B37" s="131">
        <v>2072</v>
      </c>
      <c r="C37" s="124"/>
      <c r="D37" s="131">
        <v>2132</v>
      </c>
      <c r="E37" s="124"/>
      <c r="F37" s="131">
        <v>2510.514551</v>
      </c>
      <c r="G37" s="124"/>
      <c r="H37" s="132">
        <v>2439</v>
      </c>
      <c r="I37" s="142"/>
      <c r="J37" s="146">
        <f t="shared" si="0"/>
        <v>6750</v>
      </c>
      <c r="K37" s="147">
        <v>6750</v>
      </c>
      <c r="L37" s="147"/>
      <c r="M37" s="147"/>
      <c r="N37" s="148">
        <f t="shared" si="1"/>
        <v>4239.485449</v>
      </c>
    </row>
    <row r="38" ht="27" customHeight="1" spans="1:14">
      <c r="A38" s="138" t="s">
        <v>148</v>
      </c>
      <c r="B38" s="131">
        <v>1430</v>
      </c>
      <c r="C38" s="124"/>
      <c r="D38" s="131">
        <v>1476</v>
      </c>
      <c r="E38" s="124"/>
      <c r="F38" s="131">
        <v>1682.5</v>
      </c>
      <c r="G38" s="124"/>
      <c r="H38" s="132">
        <v>1458</v>
      </c>
      <c r="I38" s="142"/>
      <c r="J38" s="146">
        <f t="shared" si="0"/>
        <v>1666</v>
      </c>
      <c r="K38" s="147">
        <v>1666</v>
      </c>
      <c r="L38" s="147"/>
      <c r="M38" s="147"/>
      <c r="N38" s="148">
        <f t="shared" si="1"/>
        <v>-16.5</v>
      </c>
    </row>
    <row r="39" ht="27" customHeight="1" spans="1:14">
      <c r="A39" s="138" t="s">
        <v>149</v>
      </c>
      <c r="B39" s="131">
        <v>6869</v>
      </c>
      <c r="C39" s="124"/>
      <c r="D39" s="131">
        <v>7847</v>
      </c>
      <c r="E39" s="124"/>
      <c r="F39" s="131">
        <v>7738.357607</v>
      </c>
      <c r="G39" s="124"/>
      <c r="H39" s="132">
        <v>7585</v>
      </c>
      <c r="I39" s="142"/>
      <c r="J39" s="146">
        <f t="shared" si="0"/>
        <v>7235</v>
      </c>
      <c r="K39" s="147">
        <v>7235</v>
      </c>
      <c r="L39" s="147"/>
      <c r="M39" s="147"/>
      <c r="N39" s="148">
        <f t="shared" si="1"/>
        <v>-503.357607</v>
      </c>
    </row>
    <row r="40" ht="27" customHeight="1" spans="1:14">
      <c r="A40" s="138" t="s">
        <v>150</v>
      </c>
      <c r="B40" s="131">
        <v>623</v>
      </c>
      <c r="C40" s="124"/>
      <c r="D40" s="131">
        <v>506</v>
      </c>
      <c r="E40" s="124"/>
      <c r="F40" s="131">
        <v>519.9323</v>
      </c>
      <c r="G40" s="124"/>
      <c r="H40" s="132">
        <v>501</v>
      </c>
      <c r="I40" s="142"/>
      <c r="J40" s="146">
        <f t="shared" si="0"/>
        <v>466</v>
      </c>
      <c r="K40" s="147">
        <v>466</v>
      </c>
      <c r="L40" s="147"/>
      <c r="M40" s="147"/>
      <c r="N40" s="148">
        <f t="shared" si="1"/>
        <v>-53.9323000000001</v>
      </c>
    </row>
    <row r="41" ht="27" customHeight="1" spans="1:14">
      <c r="A41" s="138" t="s">
        <v>151</v>
      </c>
      <c r="B41" s="131">
        <v>1696</v>
      </c>
      <c r="C41" s="124"/>
      <c r="D41" s="131">
        <v>1783</v>
      </c>
      <c r="E41" s="124"/>
      <c r="F41" s="131">
        <v>1851.047792</v>
      </c>
      <c r="G41" s="124"/>
      <c r="H41" s="132">
        <v>1821</v>
      </c>
      <c r="I41" s="142"/>
      <c r="J41" s="146">
        <f t="shared" si="0"/>
        <v>1785</v>
      </c>
      <c r="K41" s="147">
        <v>1785</v>
      </c>
      <c r="L41" s="147"/>
      <c r="M41" s="147"/>
      <c r="N41" s="148">
        <f t="shared" si="1"/>
        <v>-66.0477920000001</v>
      </c>
    </row>
    <row r="42" ht="27" customHeight="1" spans="1:14">
      <c r="A42" s="278" t="s">
        <v>152</v>
      </c>
      <c r="B42" s="131">
        <v>2067</v>
      </c>
      <c r="C42" s="124"/>
      <c r="D42" s="131">
        <v>2114</v>
      </c>
      <c r="E42" s="124"/>
      <c r="F42" s="131">
        <v>2093.600377</v>
      </c>
      <c r="G42" s="124"/>
      <c r="H42" s="132">
        <v>2062</v>
      </c>
      <c r="I42" s="142"/>
      <c r="J42" s="146">
        <f t="shared" si="0"/>
        <v>2215</v>
      </c>
      <c r="K42" s="147">
        <v>2215</v>
      </c>
      <c r="L42" s="147"/>
      <c r="M42" s="147"/>
      <c r="N42" s="148">
        <f t="shared" si="1"/>
        <v>121.399623</v>
      </c>
    </row>
    <row r="43" ht="27" customHeight="1" spans="1:14">
      <c r="A43" s="278" t="s">
        <v>153</v>
      </c>
      <c r="B43" s="131">
        <v>1675</v>
      </c>
      <c r="C43" s="124"/>
      <c r="D43" s="131">
        <v>1714</v>
      </c>
      <c r="E43" s="124"/>
      <c r="F43" s="131">
        <v>1825</v>
      </c>
      <c r="G43" s="124"/>
      <c r="H43" s="132">
        <v>1834</v>
      </c>
      <c r="I43" s="142"/>
      <c r="J43" s="146">
        <f t="shared" si="0"/>
        <v>1837</v>
      </c>
      <c r="K43" s="147">
        <v>1837</v>
      </c>
      <c r="L43" s="147"/>
      <c r="M43" s="147"/>
      <c r="N43" s="148">
        <f t="shared" si="1"/>
        <v>12</v>
      </c>
    </row>
    <row r="44" ht="27" customHeight="1" spans="1:14">
      <c r="A44" s="278" t="s">
        <v>154</v>
      </c>
      <c r="B44" s="131">
        <v>19</v>
      </c>
      <c r="C44" s="124"/>
      <c r="D44" s="131">
        <v>22</v>
      </c>
      <c r="E44" s="124"/>
      <c r="F44" s="131">
        <v>22</v>
      </c>
      <c r="G44" s="124"/>
      <c r="H44" s="132">
        <v>18</v>
      </c>
      <c r="I44" s="142"/>
      <c r="J44" s="146">
        <f t="shared" si="0"/>
        <v>4</v>
      </c>
      <c r="K44" s="147">
        <v>4</v>
      </c>
      <c r="L44" s="147"/>
      <c r="M44" s="147"/>
      <c r="N44" s="148">
        <f t="shared" si="1"/>
        <v>-18</v>
      </c>
    </row>
    <row r="45" ht="27" customHeight="1" spans="1:14">
      <c r="A45" s="278" t="s">
        <v>155</v>
      </c>
      <c r="B45" s="131">
        <v>5812</v>
      </c>
      <c r="C45" s="124"/>
      <c r="D45" s="131">
        <f>7182-1408</f>
        <v>5774</v>
      </c>
      <c r="E45" s="124"/>
      <c r="F45" s="131">
        <v>5729.847927</v>
      </c>
      <c r="G45" s="124"/>
      <c r="H45" s="132">
        <v>5869</v>
      </c>
      <c r="I45" s="142"/>
      <c r="J45" s="146">
        <f t="shared" si="0"/>
        <v>9140</v>
      </c>
      <c r="K45" s="147">
        <v>7340</v>
      </c>
      <c r="L45" s="147">
        <v>1800</v>
      </c>
      <c r="M45" s="147"/>
      <c r="N45" s="148">
        <f t="shared" si="1"/>
        <v>3410.152073</v>
      </c>
    </row>
    <row r="46" ht="27" customHeight="1" spans="1:14">
      <c r="A46" s="140" t="s">
        <v>156</v>
      </c>
      <c r="B46" s="131">
        <f>B47+B50+B53+B56+B59</f>
        <v>338084</v>
      </c>
      <c r="C46" s="124"/>
      <c r="D46" s="131">
        <f>D47+D50+D53+D56+D59</f>
        <v>326098</v>
      </c>
      <c r="E46" s="124"/>
      <c r="F46" s="131">
        <f>F47+F50+F53+F56+F59</f>
        <v>377794.662529</v>
      </c>
      <c r="G46" s="124"/>
      <c r="H46" s="132">
        <f>H47+H50+H53+H56+H59</f>
        <v>364048</v>
      </c>
      <c r="I46" s="142"/>
      <c r="J46" s="146">
        <f t="shared" si="0"/>
        <v>353258</v>
      </c>
      <c r="K46" s="147">
        <f>K47+K50+K53+K56+K59</f>
        <v>115658</v>
      </c>
      <c r="L46" s="147">
        <f>L47+L50+L53+L56+L59</f>
        <v>237600</v>
      </c>
      <c r="M46" s="147">
        <f>M47+M50+M53+M56+M59</f>
        <v>0</v>
      </c>
      <c r="N46" s="148">
        <f t="shared" si="1"/>
        <v>-24536.662529</v>
      </c>
    </row>
    <row r="47" ht="27" customHeight="1" spans="1:14">
      <c r="A47" s="133" t="s">
        <v>157</v>
      </c>
      <c r="B47" s="131"/>
      <c r="C47" s="124"/>
      <c r="D47" s="131">
        <f>SUM(D48:D49)</f>
        <v>11292</v>
      </c>
      <c r="E47" s="124"/>
      <c r="F47" s="131">
        <f>SUM(F48:F49)</f>
        <v>11142.35</v>
      </c>
      <c r="G47" s="124"/>
      <c r="H47" s="132">
        <f>SUM(H48:H49)</f>
        <v>10805</v>
      </c>
      <c r="I47" s="142"/>
      <c r="J47" s="146">
        <f t="shared" si="0"/>
        <v>8143</v>
      </c>
      <c r="K47" s="147">
        <f>SUM(K48:K49)</f>
        <v>8143</v>
      </c>
      <c r="L47" s="147">
        <f t="shared" ref="L47:M47" si="5">SUM(L48:L49)</f>
        <v>0</v>
      </c>
      <c r="M47" s="147">
        <f t="shared" si="5"/>
        <v>0</v>
      </c>
      <c r="N47" s="148">
        <f t="shared" si="1"/>
        <v>-2999.35</v>
      </c>
    </row>
    <row r="48" ht="27" customHeight="1" spans="1:14">
      <c r="A48" s="134" t="s">
        <v>158</v>
      </c>
      <c r="B48" s="131"/>
      <c r="C48" s="124"/>
      <c r="D48" s="131">
        <v>10927</v>
      </c>
      <c r="E48" s="124"/>
      <c r="F48" s="131">
        <v>11142.35</v>
      </c>
      <c r="G48" s="124"/>
      <c r="H48" s="132">
        <v>10805</v>
      </c>
      <c r="I48" s="142"/>
      <c r="J48" s="146">
        <f t="shared" si="0"/>
        <v>8143</v>
      </c>
      <c r="K48" s="147">
        <v>8143</v>
      </c>
      <c r="L48" s="147"/>
      <c r="M48" s="147"/>
      <c r="N48" s="148">
        <f t="shared" si="1"/>
        <v>-2999.35</v>
      </c>
    </row>
    <row r="49" ht="27" customHeight="1" spans="1:14">
      <c r="A49" s="134" t="s">
        <v>159</v>
      </c>
      <c r="B49" s="131"/>
      <c r="C49" s="124"/>
      <c r="D49" s="131">
        <v>365</v>
      </c>
      <c r="E49" s="124"/>
      <c r="F49" s="131">
        <v>0</v>
      </c>
      <c r="G49" s="124"/>
      <c r="H49" s="132"/>
      <c r="I49" s="142"/>
      <c r="J49" s="146">
        <f t="shared" si="0"/>
        <v>0</v>
      </c>
      <c r="K49" s="147"/>
      <c r="L49" s="147"/>
      <c r="M49" s="147"/>
      <c r="N49" s="148">
        <f t="shared" si="1"/>
        <v>0</v>
      </c>
    </row>
    <row r="50" ht="27" customHeight="1" spans="1:14">
      <c r="A50" s="133" t="s">
        <v>160</v>
      </c>
      <c r="B50" s="131">
        <f>SUM(B51:B52)</f>
        <v>125753</v>
      </c>
      <c r="C50" s="124"/>
      <c r="D50" s="131">
        <f>SUM(D51:D52)</f>
        <v>126903</v>
      </c>
      <c r="E50" s="124"/>
      <c r="F50" s="131">
        <f>SUM(F51:F52)</f>
        <v>152766.083919</v>
      </c>
      <c r="G50" s="124"/>
      <c r="H50" s="132">
        <f>SUM(H51:H52)</f>
        <v>130669</v>
      </c>
      <c r="I50" s="142"/>
      <c r="J50" s="146">
        <f t="shared" si="0"/>
        <v>80222</v>
      </c>
      <c r="K50" s="147">
        <f>SUM(K51:K52)</f>
        <v>77222</v>
      </c>
      <c r="L50" s="147">
        <f t="shared" ref="L50" si="6">SUM(L51:L52)</f>
        <v>3000</v>
      </c>
      <c r="M50" s="147">
        <f t="shared" ref="M50" si="7">SUM(M51:M52)</f>
        <v>0</v>
      </c>
      <c r="N50" s="148">
        <f t="shared" si="1"/>
        <v>-72544.083919</v>
      </c>
    </row>
    <row r="51" ht="27" customHeight="1" spans="1:14">
      <c r="A51" s="134" t="s">
        <v>158</v>
      </c>
      <c r="B51" s="131">
        <f>23239+35201</f>
        <v>58440</v>
      </c>
      <c r="C51" s="124"/>
      <c r="D51" s="131">
        <v>44358</v>
      </c>
      <c r="E51" s="124"/>
      <c r="F51" s="131">
        <v>71286.5</v>
      </c>
      <c r="G51" s="124"/>
      <c r="H51" s="132">
        <f>82684-2400-399-294-220-30-33-60-16920</f>
        <v>62328</v>
      </c>
      <c r="I51" s="142"/>
      <c r="J51" s="146">
        <f t="shared" si="0"/>
        <v>80222</v>
      </c>
      <c r="K51" s="147">
        <f>79432-1900-50-300+40</f>
        <v>77222</v>
      </c>
      <c r="L51" s="147">
        <v>3000</v>
      </c>
      <c r="M51" s="147"/>
      <c r="N51" s="148">
        <f t="shared" si="1"/>
        <v>8935.5</v>
      </c>
    </row>
    <row r="52" ht="27" customHeight="1" spans="1:14">
      <c r="A52" s="134" t="s">
        <v>159</v>
      </c>
      <c r="B52" s="131">
        <f>298+67015</f>
        <v>67313</v>
      </c>
      <c r="C52" s="124"/>
      <c r="D52" s="131">
        <v>82545</v>
      </c>
      <c r="E52" s="124"/>
      <c r="F52" s="131">
        <v>81479.583919</v>
      </c>
      <c r="G52" s="124"/>
      <c r="H52" s="132">
        <f>72941-4600</f>
        <v>68341</v>
      </c>
      <c r="I52" s="142"/>
      <c r="J52" s="146">
        <f t="shared" si="0"/>
        <v>0</v>
      </c>
      <c r="K52" s="147"/>
      <c r="L52" s="147"/>
      <c r="M52" s="147"/>
      <c r="N52" s="148">
        <f t="shared" si="1"/>
        <v>-81479.583919</v>
      </c>
    </row>
    <row r="53" ht="27" customHeight="1" spans="1:14">
      <c r="A53" s="133" t="s">
        <v>161</v>
      </c>
      <c r="B53" s="131">
        <f>SUM(B54:B55)</f>
        <v>176188</v>
      </c>
      <c r="C53" s="124"/>
      <c r="D53" s="131">
        <f>SUM(D54:D55)</f>
        <v>172511</v>
      </c>
      <c r="E53" s="124"/>
      <c r="F53" s="131">
        <f>SUM(F54:F55)</f>
        <v>180470.62011</v>
      </c>
      <c r="G53" s="124"/>
      <c r="H53" s="132">
        <f>SUM(H54:H55)</f>
        <v>178124</v>
      </c>
      <c r="I53" s="142"/>
      <c r="J53" s="146">
        <f t="shared" si="0"/>
        <v>246290</v>
      </c>
      <c r="K53" s="147">
        <f>SUM(K54:K55)</f>
        <v>17790</v>
      </c>
      <c r="L53" s="147">
        <f t="shared" ref="L53" si="8">SUM(L54:L55)</f>
        <v>228500</v>
      </c>
      <c r="M53" s="147">
        <f t="shared" ref="M53" si="9">SUM(M54:M55)</f>
        <v>0</v>
      </c>
      <c r="N53" s="148">
        <f t="shared" si="1"/>
        <v>65819.37989</v>
      </c>
    </row>
    <row r="54" ht="27" customHeight="1" spans="1:14">
      <c r="A54" s="134" t="s">
        <v>158</v>
      </c>
      <c r="B54" s="131">
        <v>18010</v>
      </c>
      <c r="C54" s="124"/>
      <c r="D54" s="131">
        <f>320+23841</f>
        <v>24161</v>
      </c>
      <c r="E54" s="124"/>
      <c r="F54" s="131">
        <v>10644.62011</v>
      </c>
      <c r="G54" s="124"/>
      <c r="H54" s="132">
        <f>18096-100-1611-64-567-740-110-387</f>
        <v>14517</v>
      </c>
      <c r="I54" s="142"/>
      <c r="J54" s="146">
        <f t="shared" si="0"/>
        <v>17790</v>
      </c>
      <c r="K54" s="147">
        <f>17890-100</f>
        <v>17790</v>
      </c>
      <c r="L54" s="147"/>
      <c r="M54" s="147"/>
      <c r="N54" s="148">
        <f t="shared" si="1"/>
        <v>7145.37989</v>
      </c>
    </row>
    <row r="55" ht="27" customHeight="1" spans="1:14">
      <c r="A55" s="134" t="s">
        <v>159</v>
      </c>
      <c r="B55" s="131">
        <v>158178</v>
      </c>
      <c r="C55" s="124"/>
      <c r="D55" s="131">
        <v>148350</v>
      </c>
      <c r="E55" s="124"/>
      <c r="F55" s="131">
        <v>169826</v>
      </c>
      <c r="G55" s="124"/>
      <c r="H55" s="132">
        <f>167326+387-4106</f>
        <v>163607</v>
      </c>
      <c r="I55" s="142"/>
      <c r="J55" s="146">
        <f t="shared" si="0"/>
        <v>228500</v>
      </c>
      <c r="K55" s="147"/>
      <c r="L55" s="147">
        <f>387462-132962-22000-4000</f>
        <v>228500</v>
      </c>
      <c r="M55" s="147"/>
      <c r="N55" s="148">
        <f t="shared" si="1"/>
        <v>58674</v>
      </c>
    </row>
    <row r="56" ht="27" customHeight="1" spans="1:14">
      <c r="A56" s="133" t="s">
        <v>162</v>
      </c>
      <c r="B56" s="131">
        <f>SUM(B57:B58)</f>
        <v>26649</v>
      </c>
      <c r="C56" s="124"/>
      <c r="D56" s="131">
        <f>SUM(D57:D58)</f>
        <v>8133</v>
      </c>
      <c r="E56" s="124"/>
      <c r="F56" s="131">
        <f>SUM(F57:F58)</f>
        <v>24689.4253</v>
      </c>
      <c r="G56" s="124"/>
      <c r="H56" s="132">
        <f>SUM(H57:H58)</f>
        <v>36262</v>
      </c>
      <c r="I56" s="142"/>
      <c r="J56" s="146">
        <f t="shared" si="0"/>
        <v>8353</v>
      </c>
      <c r="K56" s="147">
        <f>SUM(K57:K58)</f>
        <v>8353</v>
      </c>
      <c r="L56" s="147">
        <f t="shared" ref="L56" si="10">SUM(L57:L58)</f>
        <v>0</v>
      </c>
      <c r="M56" s="147">
        <f t="shared" ref="M56" si="11">SUM(M57:M58)</f>
        <v>0</v>
      </c>
      <c r="N56" s="148">
        <f t="shared" si="1"/>
        <v>-16336.4253</v>
      </c>
    </row>
    <row r="57" ht="27" customHeight="1" spans="1:14">
      <c r="A57" s="134" t="s">
        <v>158</v>
      </c>
      <c r="B57" s="131">
        <v>26649</v>
      </c>
      <c r="C57" s="124"/>
      <c r="D57" s="131">
        <v>5785</v>
      </c>
      <c r="E57" s="124"/>
      <c r="F57" s="131">
        <v>14883.45</v>
      </c>
      <c r="G57" s="124"/>
      <c r="H57" s="132">
        <f>12205-900-390-80-210</f>
        <v>10625</v>
      </c>
      <c r="I57" s="142"/>
      <c r="J57" s="146">
        <f t="shared" si="0"/>
        <v>8353</v>
      </c>
      <c r="K57" s="147">
        <f>9353-1000</f>
        <v>8353</v>
      </c>
      <c r="L57" s="147"/>
      <c r="M57" s="147"/>
      <c r="N57" s="148">
        <f t="shared" si="1"/>
        <v>-6530.45</v>
      </c>
    </row>
    <row r="58" ht="27" customHeight="1" spans="1:14">
      <c r="A58" s="134" t="s">
        <v>159</v>
      </c>
      <c r="B58" s="131"/>
      <c r="C58" s="124"/>
      <c r="D58" s="131">
        <v>2348</v>
      </c>
      <c r="E58" s="124"/>
      <c r="F58" s="131">
        <v>9805.9753</v>
      </c>
      <c r="G58" s="124"/>
      <c r="H58" s="132">
        <f>36123-10486</f>
        <v>25637</v>
      </c>
      <c r="I58" s="142"/>
      <c r="J58" s="146">
        <f t="shared" si="0"/>
        <v>0</v>
      </c>
      <c r="K58" s="147"/>
      <c r="L58" s="147"/>
      <c r="M58" s="147"/>
      <c r="N58" s="148">
        <f t="shared" si="1"/>
        <v>-9805.9753</v>
      </c>
    </row>
    <row r="59" ht="27" customHeight="1" spans="1:14">
      <c r="A59" s="133" t="s">
        <v>163</v>
      </c>
      <c r="B59" s="131">
        <f>SUM(B60:B66)</f>
        <v>9494</v>
      </c>
      <c r="C59" s="124"/>
      <c r="D59" s="131">
        <f>SUM(D60:D66)</f>
        <v>7259</v>
      </c>
      <c r="E59" s="124"/>
      <c r="F59" s="131">
        <f>SUM(F60:F66)</f>
        <v>8726.1832</v>
      </c>
      <c r="G59" s="124"/>
      <c r="H59" s="132">
        <f>SUM(H60:H66)</f>
        <v>8188</v>
      </c>
      <c r="I59" s="142"/>
      <c r="J59" s="146">
        <f t="shared" si="0"/>
        <v>10250</v>
      </c>
      <c r="K59" s="147">
        <f>SUM(K60:K66)</f>
        <v>4150</v>
      </c>
      <c r="L59" s="147">
        <f t="shared" ref="L59:M59" si="12">SUM(L60:L66)</f>
        <v>6100</v>
      </c>
      <c r="M59" s="147">
        <f t="shared" si="12"/>
        <v>0</v>
      </c>
      <c r="N59" s="148">
        <f t="shared" si="1"/>
        <v>1523.8168</v>
      </c>
    </row>
    <row r="60" ht="27" customHeight="1" spans="1:14">
      <c r="A60" s="138" t="s">
        <v>164</v>
      </c>
      <c r="B60" s="131">
        <v>1863</v>
      </c>
      <c r="C60" s="124"/>
      <c r="D60" s="131">
        <v>2200</v>
      </c>
      <c r="E60" s="124"/>
      <c r="F60" s="131">
        <v>2278</v>
      </c>
      <c r="G60" s="124"/>
      <c r="H60" s="132">
        <v>2400</v>
      </c>
      <c r="I60" s="142"/>
      <c r="J60" s="146">
        <f t="shared" si="0"/>
        <v>2400</v>
      </c>
      <c r="K60" s="147">
        <v>1900</v>
      </c>
      <c r="L60" s="147">
        <v>500</v>
      </c>
      <c r="M60" s="147"/>
      <c r="N60" s="148">
        <f t="shared" si="1"/>
        <v>122</v>
      </c>
    </row>
    <row r="61" ht="27" customHeight="1" spans="1:14">
      <c r="A61" s="138" t="s">
        <v>165</v>
      </c>
      <c r="B61" s="131">
        <v>600</v>
      </c>
      <c r="C61" s="124"/>
      <c r="D61" s="131">
        <v>400</v>
      </c>
      <c r="E61" s="124"/>
      <c r="F61" s="131">
        <v>400</v>
      </c>
      <c r="G61" s="124"/>
      <c r="H61" s="132">
        <v>399</v>
      </c>
      <c r="I61" s="142"/>
      <c r="J61" s="146">
        <f t="shared" si="0"/>
        <v>800</v>
      </c>
      <c r="K61" s="147"/>
      <c r="L61" s="147">
        <v>800</v>
      </c>
      <c r="M61" s="147"/>
      <c r="N61" s="148">
        <f t="shared" si="1"/>
        <v>400</v>
      </c>
    </row>
    <row r="62" ht="27" customHeight="1" spans="1:14">
      <c r="A62" s="138" t="s">
        <v>166</v>
      </c>
      <c r="B62" s="131">
        <v>604</v>
      </c>
      <c r="C62" s="124"/>
      <c r="D62" s="131">
        <v>485</v>
      </c>
      <c r="E62" s="124"/>
      <c r="F62" s="131">
        <v>298.1832</v>
      </c>
      <c r="G62" s="124"/>
      <c r="H62" s="132">
        <v>294</v>
      </c>
      <c r="I62" s="142"/>
      <c r="J62" s="146">
        <f t="shared" si="0"/>
        <v>600</v>
      </c>
      <c r="K62" s="147">
        <v>300</v>
      </c>
      <c r="L62" s="147">
        <v>300</v>
      </c>
      <c r="M62" s="147"/>
      <c r="N62" s="148">
        <f t="shared" si="1"/>
        <v>301.8168</v>
      </c>
    </row>
    <row r="63" s="115" customFormat="1" ht="27" customHeight="1" spans="1:14">
      <c r="A63" s="135" t="s">
        <v>167</v>
      </c>
      <c r="B63" s="131">
        <v>3000</v>
      </c>
      <c r="C63" s="124"/>
      <c r="D63" s="131">
        <v>1900</v>
      </c>
      <c r="E63" s="124"/>
      <c r="F63" s="131">
        <v>1400</v>
      </c>
      <c r="G63" s="124"/>
      <c r="H63" s="132">
        <f>990+220+30+100</f>
        <v>1340</v>
      </c>
      <c r="I63" s="142"/>
      <c r="J63" s="146">
        <f t="shared" si="0"/>
        <v>1950</v>
      </c>
      <c r="K63" s="147">
        <f>1000+50+300+100</f>
        <v>1450</v>
      </c>
      <c r="L63" s="147">
        <v>500</v>
      </c>
      <c r="M63" s="147"/>
      <c r="N63" s="148">
        <f t="shared" si="1"/>
        <v>550</v>
      </c>
    </row>
    <row r="64" s="115" customFormat="1" ht="27" customHeight="1" spans="1:14">
      <c r="A64" s="141" t="s">
        <v>168</v>
      </c>
      <c r="B64" s="131">
        <v>901</v>
      </c>
      <c r="C64" s="124"/>
      <c r="D64" s="131"/>
      <c r="E64" s="124"/>
      <c r="F64" s="131">
        <v>3850</v>
      </c>
      <c r="G64" s="124"/>
      <c r="H64" s="132">
        <f>390+1611+64+457+33+80+60+210+740+110</f>
        <v>3755</v>
      </c>
      <c r="I64" s="142"/>
      <c r="J64" s="146">
        <f t="shared" si="0"/>
        <v>2000</v>
      </c>
      <c r="K64" s="147"/>
      <c r="L64" s="147">
        <v>2000</v>
      </c>
      <c r="M64" s="147"/>
      <c r="N64" s="148">
        <f t="shared" si="1"/>
        <v>-1850</v>
      </c>
    </row>
    <row r="65" s="115" customFormat="1" ht="27" customHeight="1" spans="1:14">
      <c r="A65" s="135" t="s">
        <v>169</v>
      </c>
      <c r="B65" s="131"/>
      <c r="C65" s="124"/>
      <c r="D65" s="131"/>
      <c r="E65" s="124"/>
      <c r="F65" s="131"/>
      <c r="G65" s="124"/>
      <c r="H65" s="132"/>
      <c r="I65" s="142"/>
      <c r="J65" s="146">
        <f t="shared" si="0"/>
        <v>2000</v>
      </c>
      <c r="K65" s="147"/>
      <c r="L65" s="147">
        <v>2000</v>
      </c>
      <c r="M65" s="147"/>
      <c r="N65" s="148">
        <f t="shared" si="1"/>
        <v>2000</v>
      </c>
    </row>
    <row r="66" s="115" customFormat="1" ht="27" customHeight="1" spans="1:14">
      <c r="A66" s="141" t="s">
        <v>170</v>
      </c>
      <c r="B66" s="131">
        <v>2526</v>
      </c>
      <c r="C66" s="124"/>
      <c r="D66" s="131">
        <v>2274</v>
      </c>
      <c r="E66" s="124"/>
      <c r="F66" s="131">
        <v>500</v>
      </c>
      <c r="G66" s="124"/>
      <c r="H66" s="132"/>
      <c r="I66" s="142"/>
      <c r="J66" s="146">
        <f t="shared" si="0"/>
        <v>500</v>
      </c>
      <c r="K66" s="147">
        <v>500</v>
      </c>
      <c r="L66" s="147"/>
      <c r="M66" s="147"/>
      <c r="N66" s="148">
        <f t="shared" si="1"/>
        <v>0</v>
      </c>
    </row>
    <row r="67" ht="27" customHeight="1" spans="1:14">
      <c r="A67" s="275" t="s">
        <v>171</v>
      </c>
      <c r="B67" s="131" t="e">
        <f>SUM(#REF!)</f>
        <v>#REF!</v>
      </c>
      <c r="C67" s="124"/>
      <c r="D67" s="131"/>
      <c r="E67" s="124"/>
      <c r="F67" s="131"/>
      <c r="G67" s="124"/>
      <c r="H67" s="132"/>
      <c r="I67" s="142"/>
      <c r="J67" s="146">
        <f>K67+L67+M67</f>
        <v>5000</v>
      </c>
      <c r="K67" s="147"/>
      <c r="L67" s="147">
        <v>5000</v>
      </c>
      <c r="M67" s="147"/>
      <c r="N67" s="148">
        <f>J67-F67</f>
        <v>5000</v>
      </c>
    </row>
    <row r="68" ht="27" customHeight="1" spans="1:14">
      <c r="A68" s="275" t="s">
        <v>172</v>
      </c>
      <c r="B68" s="131"/>
      <c r="C68" s="124"/>
      <c r="D68" s="131">
        <v>5200</v>
      </c>
      <c r="E68" s="124"/>
      <c r="F68" s="131">
        <v>0</v>
      </c>
      <c r="G68" s="124"/>
      <c r="H68" s="132"/>
      <c r="I68" s="142"/>
      <c r="J68" s="146">
        <f t="shared" ref="J68:J89" si="13">K68+L68+M68</f>
        <v>30000</v>
      </c>
      <c r="K68" s="147"/>
      <c r="L68" s="147">
        <v>30000</v>
      </c>
      <c r="M68" s="147"/>
      <c r="N68" s="148">
        <f t="shared" ref="N68:N89" si="14">J68-F68</f>
        <v>30000</v>
      </c>
    </row>
    <row r="69" ht="27" customHeight="1" spans="1:14">
      <c r="A69" s="275" t="s">
        <v>173</v>
      </c>
      <c r="B69" s="131"/>
      <c r="C69" s="124"/>
      <c r="D69" s="131">
        <v>18000</v>
      </c>
      <c r="E69" s="124"/>
      <c r="F69" s="131">
        <v>30000</v>
      </c>
      <c r="G69" s="124"/>
      <c r="H69" s="132">
        <v>30000</v>
      </c>
      <c r="I69" s="142"/>
      <c r="J69" s="146">
        <f t="shared" si="13"/>
        <v>0</v>
      </c>
      <c r="K69" s="147"/>
      <c r="L69" s="147"/>
      <c r="M69" s="147"/>
      <c r="N69" s="148">
        <f t="shared" si="14"/>
        <v>-30000</v>
      </c>
    </row>
    <row r="70" ht="27" customHeight="1" spans="1:14">
      <c r="A70" s="279" t="s">
        <v>174</v>
      </c>
      <c r="B70" s="150">
        <f>SUM(B71:B72)</f>
        <v>15261</v>
      </c>
      <c r="C70" s="124"/>
      <c r="D70" s="131">
        <f>SUM(D71:D72)</f>
        <v>15828</v>
      </c>
      <c r="E70" s="124"/>
      <c r="F70" s="131">
        <f>SUM(F71:F72)</f>
        <v>16876.8</v>
      </c>
      <c r="G70" s="124"/>
      <c r="H70" s="132">
        <f>SUM(H71:H72)</f>
        <v>16921</v>
      </c>
      <c r="I70" s="142"/>
      <c r="J70" s="146">
        <f t="shared" si="13"/>
        <v>19327</v>
      </c>
      <c r="K70" s="147">
        <f>SUM(K71:K72)</f>
        <v>0</v>
      </c>
      <c r="L70" s="147">
        <f t="shared" ref="L70:M70" si="15">SUM(L71:L72)</f>
        <v>19327</v>
      </c>
      <c r="M70" s="147">
        <f t="shared" si="15"/>
        <v>0</v>
      </c>
      <c r="N70" s="148">
        <f t="shared" si="14"/>
        <v>2450.2</v>
      </c>
    </row>
    <row r="71" ht="27" customHeight="1" spans="1:14">
      <c r="A71" s="133" t="s">
        <v>175</v>
      </c>
      <c r="B71" s="131">
        <v>15261</v>
      </c>
      <c r="C71" s="124"/>
      <c r="D71" s="131">
        <v>15828</v>
      </c>
      <c r="E71" s="124"/>
      <c r="F71" s="131">
        <v>16876.8</v>
      </c>
      <c r="G71" s="124"/>
      <c r="H71" s="132">
        <v>16921</v>
      </c>
      <c r="I71" s="142"/>
      <c r="J71" s="146">
        <f t="shared" si="13"/>
        <v>19327</v>
      </c>
      <c r="K71" s="147"/>
      <c r="L71" s="147">
        <f>16877+70000*0.035</f>
        <v>19327</v>
      </c>
      <c r="M71" s="147"/>
      <c r="N71" s="148">
        <f t="shared" si="14"/>
        <v>2450.2</v>
      </c>
    </row>
    <row r="72" ht="27" customHeight="1" spans="1:14">
      <c r="A72" s="277" t="s">
        <v>176</v>
      </c>
      <c r="B72" s="131"/>
      <c r="C72" s="124"/>
      <c r="D72" s="131"/>
      <c r="E72" s="124"/>
      <c r="F72" s="131">
        <v>0</v>
      </c>
      <c r="G72" s="124"/>
      <c r="H72" s="132"/>
      <c r="I72" s="142"/>
      <c r="J72" s="146">
        <f t="shared" si="13"/>
        <v>0</v>
      </c>
      <c r="K72" s="147"/>
      <c r="L72" s="147"/>
      <c r="M72" s="147"/>
      <c r="N72" s="148">
        <f t="shared" si="14"/>
        <v>0</v>
      </c>
    </row>
    <row r="73" ht="27" customHeight="1" spans="1:14">
      <c r="A73" s="275" t="s">
        <v>177</v>
      </c>
      <c r="B73" s="131"/>
      <c r="C73" s="124"/>
      <c r="D73" s="131">
        <v>-21843</v>
      </c>
      <c r="E73" s="124"/>
      <c r="F73" s="131">
        <v>-20820</v>
      </c>
      <c r="G73" s="124"/>
      <c r="H73" s="132"/>
      <c r="I73" s="142"/>
      <c r="J73" s="146">
        <f t="shared" si="13"/>
        <v>0</v>
      </c>
      <c r="K73" s="147"/>
      <c r="L73" s="147"/>
      <c r="M73" s="147"/>
      <c r="N73" s="148">
        <f t="shared" si="14"/>
        <v>20820</v>
      </c>
    </row>
    <row r="74" ht="27" customHeight="1" spans="1:14">
      <c r="A74" s="275" t="s">
        <v>178</v>
      </c>
      <c r="B74" s="131">
        <f>SUM(B75:B78)</f>
        <v>0</v>
      </c>
      <c r="C74" s="124"/>
      <c r="D74" s="131">
        <f>SUM(D75:D78)</f>
        <v>0</v>
      </c>
      <c r="E74" s="124"/>
      <c r="F74" s="131">
        <f>SUM(F75:F78)</f>
        <v>19781.5</v>
      </c>
      <c r="G74" s="124"/>
      <c r="H74" s="132">
        <f>SUM(H75:H78)</f>
        <v>19193</v>
      </c>
      <c r="I74" s="142"/>
      <c r="J74" s="146">
        <f t="shared" si="13"/>
        <v>0</v>
      </c>
      <c r="K74" s="147">
        <f>SUM(K75:K78)</f>
        <v>0</v>
      </c>
      <c r="L74" s="147">
        <f t="shared" ref="L74:M74" si="16">SUM(L75:L78)</f>
        <v>0</v>
      </c>
      <c r="M74" s="147">
        <f t="shared" si="16"/>
        <v>0</v>
      </c>
      <c r="N74" s="148">
        <f t="shared" si="14"/>
        <v>-19781.5</v>
      </c>
    </row>
    <row r="75" ht="27" customHeight="1" spans="1:14">
      <c r="A75" s="275" t="s">
        <v>179</v>
      </c>
      <c r="B75" s="131"/>
      <c r="C75" s="124"/>
      <c r="D75" s="131"/>
      <c r="E75" s="124"/>
      <c r="F75" s="131">
        <v>1565.5</v>
      </c>
      <c r="G75" s="124"/>
      <c r="H75" s="132">
        <v>827</v>
      </c>
      <c r="I75" s="142"/>
      <c r="J75" s="146">
        <f t="shared" si="13"/>
        <v>0</v>
      </c>
      <c r="K75" s="147"/>
      <c r="L75" s="147"/>
      <c r="M75" s="147"/>
      <c r="N75" s="148">
        <f t="shared" si="14"/>
        <v>-1565.5</v>
      </c>
    </row>
    <row r="76" ht="27" customHeight="1" spans="1:14">
      <c r="A76" s="275" t="s">
        <v>180</v>
      </c>
      <c r="B76" s="131"/>
      <c r="C76" s="124"/>
      <c r="D76" s="131"/>
      <c r="E76" s="124"/>
      <c r="F76" s="131">
        <v>1220</v>
      </c>
      <c r="G76" s="124"/>
      <c r="H76" s="132">
        <f>920+300</f>
        <v>1220</v>
      </c>
      <c r="I76" s="142"/>
      <c r="J76" s="146">
        <f t="shared" si="13"/>
        <v>0</v>
      </c>
      <c r="K76" s="147"/>
      <c r="L76" s="147"/>
      <c r="M76" s="147"/>
      <c r="N76" s="148">
        <f t="shared" si="14"/>
        <v>-1220</v>
      </c>
    </row>
    <row r="77" ht="27" customHeight="1" spans="1:14">
      <c r="A77" s="275" t="s">
        <v>181</v>
      </c>
      <c r="B77" s="131"/>
      <c r="C77" s="124"/>
      <c r="D77" s="131"/>
      <c r="E77" s="124"/>
      <c r="F77" s="131">
        <v>16791</v>
      </c>
      <c r="G77" s="124"/>
      <c r="H77" s="132">
        <f>14946+2200-205</f>
        <v>16941</v>
      </c>
      <c r="I77" s="142"/>
      <c r="J77" s="146">
        <f t="shared" si="13"/>
        <v>0</v>
      </c>
      <c r="K77" s="147"/>
      <c r="L77" s="147"/>
      <c r="M77" s="147"/>
      <c r="N77" s="148">
        <f t="shared" si="14"/>
        <v>-16791</v>
      </c>
    </row>
    <row r="78" ht="27" customHeight="1" spans="1:14">
      <c r="A78" s="275" t="s">
        <v>182</v>
      </c>
      <c r="B78" s="131"/>
      <c r="C78" s="124"/>
      <c r="D78" s="131"/>
      <c r="E78" s="124"/>
      <c r="F78" s="131">
        <v>205</v>
      </c>
      <c r="G78" s="124"/>
      <c r="H78" s="132">
        <v>205</v>
      </c>
      <c r="I78" s="142"/>
      <c r="J78" s="146">
        <f t="shared" si="13"/>
        <v>0</v>
      </c>
      <c r="K78" s="147"/>
      <c r="L78" s="147"/>
      <c r="M78" s="147"/>
      <c r="N78" s="148">
        <f t="shared" si="14"/>
        <v>-205</v>
      </c>
    </row>
    <row r="79" ht="27" customHeight="1" spans="1:14">
      <c r="A79" s="275" t="s">
        <v>183</v>
      </c>
      <c r="B79" s="131"/>
      <c r="C79" s="124"/>
      <c r="D79" s="131"/>
      <c r="E79" s="124"/>
      <c r="F79" s="131">
        <v>3434.4</v>
      </c>
      <c r="G79" s="124"/>
      <c r="H79" s="131"/>
      <c r="I79" s="142"/>
      <c r="J79" s="146">
        <f t="shared" si="13"/>
        <v>10000</v>
      </c>
      <c r="K79" s="147"/>
      <c r="L79" s="147">
        <v>10000</v>
      </c>
      <c r="M79" s="147"/>
      <c r="N79" s="148">
        <f t="shared" si="14"/>
        <v>6565.6</v>
      </c>
    </row>
    <row r="80" ht="27" customHeight="1" spans="1:14">
      <c r="A80" s="280" t="s">
        <v>184</v>
      </c>
      <c r="B80" s="152" t="e">
        <f>'3'!B50+'3'!B48-'4'!B5</f>
        <v>#REF!</v>
      </c>
      <c r="C80" s="124"/>
      <c r="D80" s="152">
        <f>'3'!D50-'4'!D5+'3'!D48</f>
        <v>19243.74</v>
      </c>
      <c r="E80" s="124"/>
      <c r="F80" s="153">
        <f>'3'!F50-'4'!F5+'3'!F48</f>
        <v>-0.0998640969628468</v>
      </c>
      <c r="G80" s="124"/>
      <c r="H80" s="154">
        <f>'3'!H50-'4'!H5+'3'!H48</f>
        <v>7231.10999999999</v>
      </c>
      <c r="I80" s="142"/>
      <c r="J80" s="155">
        <f>'3'!J50-'4'!J5</f>
        <v>-0.321400000015274</v>
      </c>
      <c r="K80" s="156"/>
      <c r="L80" s="156"/>
      <c r="M80" s="156"/>
      <c r="N80" s="157">
        <f t="shared" si="14"/>
        <v>-0.221535903052427</v>
      </c>
    </row>
    <row r="81" ht="63" hidden="1" customHeight="1" spans="1:1">
      <c r="A81" s="116" t="s">
        <v>185</v>
      </c>
    </row>
  </sheetData>
  <mergeCells count="10">
    <mergeCell ref="A1:N1"/>
    <mergeCell ref="J3:N3"/>
    <mergeCell ref="A3:A4"/>
    <mergeCell ref="B3:B4"/>
    <mergeCell ref="C3:C80"/>
    <mergeCell ref="D3:D4"/>
    <mergeCell ref="E3:E80"/>
    <mergeCell ref="F3:F4"/>
    <mergeCell ref="G3:G80"/>
    <mergeCell ref="H3:H4"/>
  </mergeCells>
  <printOptions horizontalCentered="1"/>
  <pageMargins left="0.393055555555556" right="0.393055555555556" top="0.393055555555556" bottom="0.393055555555556" header="0.313888888888889" footer="0.196527777777778"/>
  <pageSetup paperSize="8" firstPageNumber="4" fitToHeight="0" orientation="landscape" useFirstPageNumber="1"/>
  <headerFooter>
    <oddFooter>&amp;C第 &amp;P 页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6" tint="0.799768059327982"/>
    <pageSetUpPr fitToPage="1"/>
  </sheetPr>
  <dimension ref="A1:R37"/>
  <sheetViews>
    <sheetView showZeros="0" zoomScale="90" zoomScaleNormal="90" workbookViewId="0">
      <pane ySplit="6" topLeftCell="A7" activePane="bottomLeft" state="frozen"/>
      <selection/>
      <selection pane="bottomLeft" activeCell="K11" sqref="K11"/>
    </sheetView>
  </sheetViews>
  <sheetFormatPr defaultColWidth="9" defaultRowHeight="14.25"/>
  <cols>
    <col min="1" max="1" width="25.5" style="55" customWidth="1"/>
    <col min="2" max="2" width="10.625" style="55" hidden="1" customWidth="1"/>
    <col min="3" max="6" width="10.625" style="55" customWidth="1"/>
    <col min="7" max="7" width="1.625" style="55" customWidth="1"/>
    <col min="8" max="8" width="29" style="55" customWidth="1"/>
    <col min="9" max="9" width="10.625" style="55" hidden="1" customWidth="1"/>
    <col min="10" max="16" width="10.625" style="55" customWidth="1"/>
    <col min="17" max="17" width="30.125" style="55" hidden="1" customWidth="1"/>
    <col min="18" max="16384" width="9" style="55"/>
  </cols>
  <sheetData>
    <row r="1" ht="24" spans="1:17">
      <c r="A1" s="273" t="s">
        <v>186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</row>
    <row r="2" s="54" customFormat="1" ht="20.25" customHeight="1" spans="1:17">
      <c r="A2" s="57" t="s">
        <v>1</v>
      </c>
      <c r="B2" s="58"/>
      <c r="C2" s="59"/>
      <c r="D2" s="59"/>
      <c r="E2" s="59"/>
      <c r="F2" s="59"/>
      <c r="G2" s="58"/>
      <c r="H2" s="60"/>
      <c r="J2" s="60"/>
      <c r="P2" s="95" t="s">
        <v>2</v>
      </c>
      <c r="Q2" s="95" t="s">
        <v>2</v>
      </c>
    </row>
    <row r="3" ht="23.45" customHeight="1" spans="1:17">
      <c r="A3" s="61" t="s">
        <v>187</v>
      </c>
      <c r="B3" s="61"/>
      <c r="C3" s="61"/>
      <c r="D3" s="61"/>
      <c r="E3" s="61"/>
      <c r="F3" s="61"/>
      <c r="G3" s="62"/>
      <c r="H3" s="63" t="s">
        <v>188</v>
      </c>
      <c r="I3" s="96"/>
      <c r="J3" s="96"/>
      <c r="K3" s="96"/>
      <c r="L3" s="96"/>
      <c r="M3" s="96"/>
      <c r="N3" s="96"/>
      <c r="O3" s="96"/>
      <c r="P3" s="97"/>
      <c r="Q3" s="106" t="s">
        <v>189</v>
      </c>
    </row>
    <row r="4" ht="20.1" customHeight="1" spans="1:17">
      <c r="A4" s="61" t="s">
        <v>190</v>
      </c>
      <c r="B4" s="64" t="s">
        <v>191</v>
      </c>
      <c r="C4" s="64" t="s">
        <v>192</v>
      </c>
      <c r="D4" s="64" t="s">
        <v>193</v>
      </c>
      <c r="E4" s="65" t="s">
        <v>194</v>
      </c>
      <c r="F4" s="65" t="s">
        <v>195</v>
      </c>
      <c r="G4" s="66"/>
      <c r="H4" s="67" t="s">
        <v>190</v>
      </c>
      <c r="I4" s="98" t="s">
        <v>191</v>
      </c>
      <c r="J4" s="98" t="s">
        <v>192</v>
      </c>
      <c r="K4" s="98" t="s">
        <v>196</v>
      </c>
      <c r="L4" s="99" t="s">
        <v>194</v>
      </c>
      <c r="M4" s="98" t="s">
        <v>195</v>
      </c>
      <c r="N4" s="98"/>
      <c r="O4" s="98"/>
      <c r="P4" s="100"/>
      <c r="Q4" s="107"/>
    </row>
    <row r="5" ht="20.1" customHeight="1" spans="1:17">
      <c r="A5" s="61"/>
      <c r="B5" s="64"/>
      <c r="C5" s="64"/>
      <c r="D5" s="64"/>
      <c r="E5" s="68"/>
      <c r="F5" s="68"/>
      <c r="G5" s="66"/>
      <c r="H5" s="67"/>
      <c r="I5" s="98"/>
      <c r="J5" s="98"/>
      <c r="K5" s="98"/>
      <c r="L5" s="99"/>
      <c r="M5" s="281" t="s">
        <v>53</v>
      </c>
      <c r="N5" s="281" t="s">
        <v>112</v>
      </c>
      <c r="O5" s="281" t="s">
        <v>113</v>
      </c>
      <c r="P5" s="282" t="s">
        <v>11</v>
      </c>
      <c r="Q5" s="107"/>
    </row>
    <row r="6" ht="23.45" customHeight="1" spans="1:17">
      <c r="A6" s="69" t="s">
        <v>197</v>
      </c>
      <c r="B6" s="70">
        <f>B7+B19+B20</f>
        <v>127516</v>
      </c>
      <c r="C6" s="70">
        <f t="shared" ref="C6:F6" si="0">C7+C19+C20</f>
        <v>181996</v>
      </c>
      <c r="D6" s="70">
        <f t="shared" si="0"/>
        <v>249551</v>
      </c>
      <c r="E6" s="70">
        <f t="shared" si="0"/>
        <v>249551.63</v>
      </c>
      <c r="F6" s="71">
        <f t="shared" si="0"/>
        <v>187283</v>
      </c>
      <c r="G6" s="66"/>
      <c r="H6" s="283" t="s">
        <v>198</v>
      </c>
      <c r="I6" s="87">
        <f>I7+I8</f>
        <v>68889</v>
      </c>
      <c r="J6" s="87">
        <f t="shared" ref="J6:O6" si="1">J7+J8</f>
        <v>102806</v>
      </c>
      <c r="K6" s="87">
        <f t="shared" si="1"/>
        <v>277538.76</v>
      </c>
      <c r="L6" s="87">
        <f t="shared" si="1"/>
        <v>279835</v>
      </c>
      <c r="M6" s="87">
        <f>N6+O6</f>
        <v>63220.74</v>
      </c>
      <c r="N6" s="87">
        <f t="shared" si="1"/>
        <v>14157</v>
      </c>
      <c r="O6" s="87">
        <f t="shared" si="1"/>
        <v>49063.74</v>
      </c>
      <c r="P6" s="103">
        <f t="shared" ref="P6:P16" si="2">K6-J6</f>
        <v>174732.76</v>
      </c>
      <c r="Q6" s="108"/>
    </row>
    <row r="7" ht="23.45" customHeight="1" spans="1:17">
      <c r="A7" s="284" t="s">
        <v>199</v>
      </c>
      <c r="B7" s="74">
        <f>B9+B11+B13+B15+B17-'2'!B29-'2'!B30/0.8</f>
        <v>121873</v>
      </c>
      <c r="C7" s="74">
        <f>C9+C11+C13+C15+C17-'2'!D29-'2'!D30/0.8</f>
        <v>149033</v>
      </c>
      <c r="D7" s="74">
        <f>D9+D11+D13+D15+D17-'2'!F29-'2'!F30/0.8</f>
        <v>218751</v>
      </c>
      <c r="E7" s="74">
        <f>E9+E11+E13+E15+E17-'2'!J29-('2'!J30/0.8)</f>
        <v>218751.63</v>
      </c>
      <c r="F7" s="75">
        <f>F9+F11+F13+F15+F17-'2'!O29-'2'!O30/0.8</f>
        <v>156483</v>
      </c>
      <c r="G7" s="66"/>
      <c r="H7" s="76" t="s">
        <v>200</v>
      </c>
      <c r="I7" s="78">
        <v>3801</v>
      </c>
      <c r="J7" s="78">
        <v>3320</v>
      </c>
      <c r="K7" s="78">
        <v>7700</v>
      </c>
      <c r="L7" s="78">
        <v>10001</v>
      </c>
      <c r="M7" s="78">
        <f t="shared" ref="M7:M32" si="3">N7+O7</f>
        <v>5690.8</v>
      </c>
      <c r="N7" s="78"/>
      <c r="O7" s="78">
        <f>F33</f>
        <v>5690.8</v>
      </c>
      <c r="P7" s="79">
        <f t="shared" si="2"/>
        <v>4380</v>
      </c>
      <c r="Q7" s="109"/>
    </row>
    <row r="8" ht="23.45" customHeight="1" spans="1:17">
      <c r="A8" s="285" t="s">
        <v>201</v>
      </c>
      <c r="B8" s="78">
        <f>B10+B12+B14+B16+B18</f>
        <v>5755</v>
      </c>
      <c r="C8" s="78">
        <f t="shared" ref="C8:F8" si="4">C10+C12+C14+C16+C18</f>
        <v>63640</v>
      </c>
      <c r="D8" s="78">
        <f t="shared" si="4"/>
        <v>137702</v>
      </c>
      <c r="E8" s="78">
        <f t="shared" si="4"/>
        <v>126188.0225</v>
      </c>
      <c r="F8" s="79">
        <f t="shared" si="4"/>
        <v>55379</v>
      </c>
      <c r="G8" s="66"/>
      <c r="H8" s="76" t="s">
        <v>202</v>
      </c>
      <c r="I8" s="87">
        <f>I9+I13+I20+I27+I28+I26</f>
        <v>65088</v>
      </c>
      <c r="J8" s="87">
        <f>J9+J13+J20+J27+J28+J26</f>
        <v>99486</v>
      </c>
      <c r="K8" s="87">
        <v>269838.76</v>
      </c>
      <c r="L8" s="87">
        <f>L9+L13+L20+L27+L28+L26</f>
        <v>269834</v>
      </c>
      <c r="M8" s="87">
        <f t="shared" si="3"/>
        <v>57529.94</v>
      </c>
      <c r="N8" s="87">
        <f>N9+N13+N20+N27+N28+N26</f>
        <v>14157</v>
      </c>
      <c r="O8" s="87">
        <f>O9+O13+O20+O27+O28+O26</f>
        <v>43372.94</v>
      </c>
      <c r="P8" s="103">
        <f t="shared" si="2"/>
        <v>170352.76</v>
      </c>
      <c r="Q8" s="109"/>
    </row>
    <row r="9" ht="23.45" customHeight="1" spans="1:17">
      <c r="A9" s="285" t="s">
        <v>203</v>
      </c>
      <c r="B9" s="78">
        <v>9313</v>
      </c>
      <c r="C9" s="78">
        <v>11859</v>
      </c>
      <c r="D9" s="78">
        <v>8923</v>
      </c>
      <c r="E9" s="80">
        <v>16725</v>
      </c>
      <c r="F9" s="79">
        <v>13578</v>
      </c>
      <c r="G9" s="66"/>
      <c r="H9" s="81" t="s">
        <v>204</v>
      </c>
      <c r="I9" s="78">
        <f>SUM(I10:I12)</f>
        <v>6034</v>
      </c>
      <c r="J9" s="78">
        <f t="shared" ref="J9:L9" si="5">SUM(J10:J12)</f>
        <v>8529</v>
      </c>
      <c r="K9" s="78">
        <v>43185.4</v>
      </c>
      <c r="L9" s="78">
        <f t="shared" si="5"/>
        <v>36941</v>
      </c>
      <c r="M9" s="78">
        <f t="shared" si="3"/>
        <v>15447</v>
      </c>
      <c r="N9" s="78">
        <f t="shared" ref="N9:O9" si="6">SUM(N10:N12)</f>
        <v>14157</v>
      </c>
      <c r="O9" s="78">
        <f t="shared" si="6"/>
        <v>1290</v>
      </c>
      <c r="P9" s="79">
        <f t="shared" si="2"/>
        <v>34656.4</v>
      </c>
      <c r="Q9" s="109"/>
    </row>
    <row r="10" ht="23.45" customHeight="1" spans="1:17">
      <c r="A10" s="285" t="s">
        <v>201</v>
      </c>
      <c r="B10" s="78"/>
      <c r="C10" s="78">
        <v>9432</v>
      </c>
      <c r="D10" s="78">
        <v>4918</v>
      </c>
      <c r="E10" s="80">
        <v>3937.57</v>
      </c>
      <c r="F10" s="79">
        <v>6426</v>
      </c>
      <c r="G10" s="66"/>
      <c r="H10" s="76" t="s">
        <v>205</v>
      </c>
      <c r="I10" s="78">
        <v>4340</v>
      </c>
      <c r="J10" s="78"/>
      <c r="K10" s="78">
        <v>8193</v>
      </c>
      <c r="L10" s="78">
        <v>7523</v>
      </c>
      <c r="M10" s="78">
        <f t="shared" si="3"/>
        <v>5070</v>
      </c>
      <c r="N10" s="78">
        <v>5070</v>
      </c>
      <c r="O10" s="78"/>
      <c r="P10" s="79">
        <f t="shared" si="2"/>
        <v>8193</v>
      </c>
      <c r="Q10" s="109"/>
    </row>
    <row r="11" ht="23.45" customHeight="1" spans="1:17">
      <c r="A11" s="285" t="s">
        <v>206</v>
      </c>
      <c r="B11" s="78">
        <v>64086</v>
      </c>
      <c r="C11" s="78">
        <v>105778</v>
      </c>
      <c r="D11" s="82">
        <v>155422</v>
      </c>
      <c r="E11" s="83">
        <v>151065.1</v>
      </c>
      <c r="F11" s="84">
        <v>71655</v>
      </c>
      <c r="G11" s="66"/>
      <c r="H11" s="76" t="s">
        <v>207</v>
      </c>
      <c r="I11" s="78">
        <f>694+1000</f>
        <v>1694</v>
      </c>
      <c r="J11" s="78">
        <f>1000+546+794+1323+300+100+4344+122</f>
        <v>8529</v>
      </c>
      <c r="K11" s="78">
        <v>2564</v>
      </c>
      <c r="L11" s="78">
        <v>29418</v>
      </c>
      <c r="M11" s="78">
        <f t="shared" si="3"/>
        <v>9087</v>
      </c>
      <c r="N11" s="78">
        <v>9087</v>
      </c>
      <c r="O11" s="78"/>
      <c r="P11" s="79">
        <f t="shared" si="2"/>
        <v>-5965</v>
      </c>
      <c r="Q11" s="110" t="s">
        <v>208</v>
      </c>
    </row>
    <row r="12" ht="23.45" customHeight="1" spans="1:17">
      <c r="A12" s="285" t="s">
        <v>201</v>
      </c>
      <c r="B12" s="78">
        <v>5716</v>
      </c>
      <c r="C12" s="78">
        <v>52454</v>
      </c>
      <c r="D12" s="82">
        <v>107604</v>
      </c>
      <c r="E12" s="83">
        <v>95000</v>
      </c>
      <c r="F12" s="84">
        <v>18953</v>
      </c>
      <c r="G12" s="66"/>
      <c r="H12" s="76" t="s">
        <v>209</v>
      </c>
      <c r="I12" s="78"/>
      <c r="J12" s="78"/>
      <c r="K12" s="78">
        <v>32428.4</v>
      </c>
      <c r="L12" s="78"/>
      <c r="M12" s="78">
        <f t="shared" si="3"/>
        <v>1290</v>
      </c>
      <c r="N12" s="78"/>
      <c r="O12" s="78">
        <v>1290</v>
      </c>
      <c r="P12" s="79">
        <f t="shared" si="2"/>
        <v>32428.4</v>
      </c>
      <c r="Q12" s="109"/>
    </row>
    <row r="13" ht="23.45" customHeight="1" spans="1:17">
      <c r="A13" s="285" t="s">
        <v>210</v>
      </c>
      <c r="B13" s="78">
        <v>43583</v>
      </c>
      <c r="C13" s="78">
        <v>17964</v>
      </c>
      <c r="D13" s="82">
        <v>51297</v>
      </c>
      <c r="E13" s="83">
        <v>45888.07</v>
      </c>
      <c r="F13" s="84">
        <v>33937</v>
      </c>
      <c r="G13" s="66"/>
      <c r="H13" s="81" t="s">
        <v>211</v>
      </c>
      <c r="I13" s="78">
        <f t="shared" ref="I13:O13" si="7">SUM(I14:I19)</f>
        <v>1260</v>
      </c>
      <c r="J13" s="78">
        <f t="shared" si="7"/>
        <v>-1581</v>
      </c>
      <c r="K13" s="78">
        <f t="shared" si="7"/>
        <v>0</v>
      </c>
      <c r="L13" s="78">
        <f t="shared" si="7"/>
        <v>0</v>
      </c>
      <c r="M13" s="78">
        <f t="shared" si="3"/>
        <v>-0.0599999999976717</v>
      </c>
      <c r="N13" s="78">
        <f t="shared" si="7"/>
        <v>0</v>
      </c>
      <c r="O13" s="78">
        <f t="shared" si="7"/>
        <v>-0.0599999999976717</v>
      </c>
      <c r="P13" s="79">
        <f t="shared" si="2"/>
        <v>1581</v>
      </c>
      <c r="Q13" s="109"/>
    </row>
    <row r="14" ht="23.45" customHeight="1" spans="1:17">
      <c r="A14" s="285" t="s">
        <v>201</v>
      </c>
      <c r="B14" s="78"/>
      <c r="C14" s="78">
        <v>213</v>
      </c>
      <c r="D14" s="82">
        <v>24495</v>
      </c>
      <c r="E14" s="83">
        <v>24908.88</v>
      </c>
      <c r="F14" s="84">
        <v>0</v>
      </c>
      <c r="G14" s="66"/>
      <c r="H14" s="76" t="s">
        <v>212</v>
      </c>
      <c r="I14" s="78"/>
      <c r="J14" s="78">
        <v>10423</v>
      </c>
      <c r="K14" s="78">
        <v>8202.1</v>
      </c>
      <c r="L14" s="78"/>
      <c r="M14" s="78">
        <f t="shared" si="3"/>
        <v>12290.64</v>
      </c>
      <c r="N14" s="78"/>
      <c r="O14" s="78">
        <f>(F9-F10)*0.82+F10</f>
        <v>12290.64</v>
      </c>
      <c r="P14" s="79">
        <f t="shared" si="2"/>
        <v>-2220.9</v>
      </c>
      <c r="Q14" s="109"/>
    </row>
    <row r="15" ht="23.45" customHeight="1" spans="1:17">
      <c r="A15" s="284" t="s">
        <v>213</v>
      </c>
      <c r="B15" s="78">
        <v>983</v>
      </c>
      <c r="C15" s="78">
        <v>4996</v>
      </c>
      <c r="D15" s="82">
        <v>3000</v>
      </c>
      <c r="E15" s="83">
        <v>4065.41</v>
      </c>
      <c r="F15" s="84">
        <v>9313</v>
      </c>
      <c r="G15" s="66"/>
      <c r="H15" s="76" t="s">
        <v>214</v>
      </c>
      <c r="I15" s="78"/>
      <c r="J15" s="78">
        <v>87386</v>
      </c>
      <c r="K15" s="78">
        <v>133903.9</v>
      </c>
      <c r="L15" s="78"/>
      <c r="M15" s="78">
        <f t="shared" si="3"/>
        <v>47939.1</v>
      </c>
      <c r="N15" s="78"/>
      <c r="O15" s="78">
        <f>(F11-F12)*0.55+F12</f>
        <v>47939.1</v>
      </c>
      <c r="P15" s="79">
        <f t="shared" si="2"/>
        <v>46517.9</v>
      </c>
      <c r="Q15" s="109"/>
    </row>
    <row r="16" ht="23.45" customHeight="1" spans="1:17">
      <c r="A16" s="285" t="s">
        <v>201</v>
      </c>
      <c r="B16" s="78">
        <v>39</v>
      </c>
      <c r="C16" s="78"/>
      <c r="D16" s="82">
        <v>275</v>
      </c>
      <c r="E16" s="83">
        <v>271.8425</v>
      </c>
      <c r="F16" s="84"/>
      <c r="G16" s="66"/>
      <c r="H16" s="76" t="s">
        <v>215</v>
      </c>
      <c r="I16" s="78"/>
      <c r="J16" s="78">
        <f>571+9225</f>
        <v>9796</v>
      </c>
      <c r="K16" s="78">
        <v>40576.2</v>
      </c>
      <c r="L16" s="78"/>
      <c r="M16" s="78">
        <f t="shared" si="3"/>
        <v>20362.2</v>
      </c>
      <c r="N16" s="78"/>
      <c r="O16" s="78">
        <f>(F13-F14)*0.6+F14</f>
        <v>20362.2</v>
      </c>
      <c r="P16" s="79">
        <f t="shared" si="2"/>
        <v>30780.2</v>
      </c>
      <c r="Q16" s="109"/>
    </row>
    <row r="17" ht="23.45" customHeight="1" spans="1:17">
      <c r="A17" s="284" t="s">
        <v>216</v>
      </c>
      <c r="B17" s="78">
        <f>5080-983+1591</f>
        <v>5688</v>
      </c>
      <c r="C17" s="78">
        <v>9882</v>
      </c>
      <c r="D17" s="82">
        <f>651+708</f>
        <v>1359</v>
      </c>
      <c r="E17" s="83">
        <v>2564.8</v>
      </c>
      <c r="F17" s="84">
        <v>30000</v>
      </c>
      <c r="G17" s="66"/>
      <c r="H17" s="76" t="s">
        <v>217</v>
      </c>
      <c r="I17" s="78">
        <v>1260</v>
      </c>
      <c r="J17" s="78">
        <v>17549</v>
      </c>
      <c r="K17" s="78">
        <v>16500</v>
      </c>
      <c r="L17" s="78"/>
      <c r="M17" s="78">
        <f t="shared" si="3"/>
        <v>8250</v>
      </c>
      <c r="N17" s="78"/>
      <c r="O17" s="78">
        <f>F21*0.55</f>
        <v>8250</v>
      </c>
      <c r="P17" s="79"/>
      <c r="Q17" s="111"/>
    </row>
    <row r="18" ht="23.45" customHeight="1" spans="1:17">
      <c r="A18" s="285" t="s">
        <v>201</v>
      </c>
      <c r="B18" s="78"/>
      <c r="C18" s="78">
        <v>1541</v>
      </c>
      <c r="D18" s="82">
        <v>410</v>
      </c>
      <c r="E18" s="83">
        <v>2069.73</v>
      </c>
      <c r="F18" s="84">
        <v>30000</v>
      </c>
      <c r="G18" s="66"/>
      <c r="H18" s="76" t="s">
        <v>218</v>
      </c>
      <c r="I18" s="78"/>
      <c r="J18" s="78"/>
      <c r="K18" s="78">
        <v>0</v>
      </c>
      <c r="L18" s="78"/>
      <c r="M18" s="78">
        <f t="shared" si="3"/>
        <v>30000</v>
      </c>
      <c r="N18" s="78"/>
      <c r="O18" s="78">
        <f>F17</f>
        <v>30000</v>
      </c>
      <c r="P18" s="79">
        <f t="shared" ref="P18:P33" si="8">K18-J18</f>
        <v>0</v>
      </c>
      <c r="Q18" s="109" t="s">
        <v>219</v>
      </c>
    </row>
    <row r="19" ht="23.45" customHeight="1" spans="1:17">
      <c r="A19" s="284" t="s">
        <v>220</v>
      </c>
      <c r="B19" s="78">
        <v>1152</v>
      </c>
      <c r="C19" s="78">
        <v>755</v>
      </c>
      <c r="D19" s="78">
        <v>800</v>
      </c>
      <c r="E19" s="80">
        <v>800</v>
      </c>
      <c r="F19" s="79">
        <v>800</v>
      </c>
      <c r="G19" s="66"/>
      <c r="H19" s="76" t="s">
        <v>218</v>
      </c>
      <c r="I19" s="78"/>
      <c r="J19" s="78">
        <v>-126735</v>
      </c>
      <c r="K19" s="78">
        <v>-199182.2</v>
      </c>
      <c r="L19" s="78"/>
      <c r="M19" s="78">
        <f t="shared" si="3"/>
        <v>-118842</v>
      </c>
      <c r="N19" s="78"/>
      <c r="O19" s="78">
        <f>-118842</f>
        <v>-118842</v>
      </c>
      <c r="P19" s="79">
        <f t="shared" si="8"/>
        <v>-72447.2</v>
      </c>
      <c r="Q19" s="109" t="s">
        <v>221</v>
      </c>
    </row>
    <row r="20" ht="23.45" customHeight="1" spans="1:17">
      <c r="A20" s="284" t="s">
        <v>222</v>
      </c>
      <c r="B20" s="78">
        <f>SUM(B21:B23)</f>
        <v>4491</v>
      </c>
      <c r="C20" s="78">
        <f t="shared" ref="C20:F20" si="9">SUM(C21:C23)</f>
        <v>32208</v>
      </c>
      <c r="D20" s="78">
        <f t="shared" si="9"/>
        <v>30000</v>
      </c>
      <c r="E20" s="80">
        <v>30000</v>
      </c>
      <c r="F20" s="79">
        <f t="shared" si="9"/>
        <v>30000</v>
      </c>
      <c r="G20" s="66"/>
      <c r="H20" s="81" t="s">
        <v>223</v>
      </c>
      <c r="I20" s="78">
        <f>SUM(I21:I25)</f>
        <v>51735</v>
      </c>
      <c r="J20" s="78">
        <f>SUM(J21:J25)</f>
        <v>86479</v>
      </c>
      <c r="K20" s="78">
        <f>SUM(K21:K25)</f>
        <v>42270.56</v>
      </c>
      <c r="L20" s="78">
        <f>SUM(L21:L25)</f>
        <v>55235</v>
      </c>
      <c r="M20" s="78">
        <f t="shared" si="3"/>
        <v>33000</v>
      </c>
      <c r="N20" s="78">
        <f>SUM(N21:N25)</f>
        <v>0</v>
      </c>
      <c r="O20" s="78">
        <f>SUM(O21:O25)</f>
        <v>33000</v>
      </c>
      <c r="P20" s="79">
        <f t="shared" si="8"/>
        <v>-44208.44</v>
      </c>
      <c r="Q20" s="112"/>
    </row>
    <row r="21" ht="23.45" customHeight="1" spans="1:17">
      <c r="A21" s="285" t="s">
        <v>224</v>
      </c>
      <c r="B21" s="78">
        <v>4491</v>
      </c>
      <c r="C21" s="78">
        <v>19541</v>
      </c>
      <c r="D21" s="78">
        <v>30000</v>
      </c>
      <c r="E21" s="80"/>
      <c r="F21" s="79">
        <v>15000</v>
      </c>
      <c r="G21" s="66"/>
      <c r="H21" s="284" t="s">
        <v>225</v>
      </c>
      <c r="I21" s="78"/>
      <c r="J21" s="78">
        <v>156</v>
      </c>
      <c r="K21" s="78">
        <v>0</v>
      </c>
      <c r="L21" s="78">
        <v>532</v>
      </c>
      <c r="M21" s="78">
        <f t="shared" si="3"/>
        <v>0</v>
      </c>
      <c r="N21" s="78"/>
      <c r="O21" s="78"/>
      <c r="P21" s="79">
        <f t="shared" si="8"/>
        <v>-156</v>
      </c>
      <c r="Q21" s="111"/>
    </row>
    <row r="22" ht="23.45" customHeight="1" spans="1:17">
      <c r="A22" s="284" t="s">
        <v>213</v>
      </c>
      <c r="B22" s="78"/>
      <c r="C22" s="78">
        <v>235</v>
      </c>
      <c r="D22" s="78"/>
      <c r="E22" s="80"/>
      <c r="F22" s="79"/>
      <c r="G22" s="66"/>
      <c r="H22" s="284" t="s">
        <v>226</v>
      </c>
      <c r="I22" s="78">
        <v>736</v>
      </c>
      <c r="J22" s="78">
        <v>512</v>
      </c>
      <c r="K22" s="78">
        <v>904</v>
      </c>
      <c r="L22" s="78">
        <v>814</v>
      </c>
      <c r="M22" s="78">
        <f t="shared" si="3"/>
        <v>0</v>
      </c>
      <c r="N22" s="78"/>
      <c r="O22" s="78"/>
      <c r="P22" s="79">
        <f t="shared" si="8"/>
        <v>392</v>
      </c>
      <c r="Q22" s="111"/>
    </row>
    <row r="23" ht="23.45" customHeight="1" spans="1:18">
      <c r="A23" s="284" t="s">
        <v>227</v>
      </c>
      <c r="B23" s="78"/>
      <c r="C23" s="78">
        <f>31973-19541</f>
        <v>12432</v>
      </c>
      <c r="D23" s="78"/>
      <c r="E23" s="80">
        <v>30000</v>
      </c>
      <c r="F23" s="79">
        <v>15000</v>
      </c>
      <c r="G23" s="66"/>
      <c r="H23" s="284" t="s">
        <v>228</v>
      </c>
      <c r="I23" s="78">
        <f>58113-6034-1260</f>
        <v>50819</v>
      </c>
      <c r="J23" s="78">
        <v>82974</v>
      </c>
      <c r="K23" s="78">
        <v>40195.56</v>
      </c>
      <c r="L23" s="78">
        <v>49196</v>
      </c>
      <c r="M23" s="78">
        <f t="shared" si="3"/>
        <v>33000</v>
      </c>
      <c r="N23" s="78"/>
      <c r="O23" s="78">
        <v>33000</v>
      </c>
      <c r="P23" s="79">
        <f t="shared" si="8"/>
        <v>-42778.44</v>
      </c>
      <c r="Q23" s="109"/>
      <c r="R23" s="113"/>
    </row>
    <row r="24" ht="23.45" customHeight="1" spans="1:17">
      <c r="A24" s="76" t="s">
        <v>229</v>
      </c>
      <c r="B24" s="78">
        <v>54399</v>
      </c>
      <c r="C24" s="78">
        <v>86479</v>
      </c>
      <c r="D24" s="78">
        <v>67553.56</v>
      </c>
      <c r="E24" s="80">
        <v>76730</v>
      </c>
      <c r="F24" s="79">
        <v>33000</v>
      </c>
      <c r="G24" s="66"/>
      <c r="H24" s="284" t="s">
        <v>230</v>
      </c>
      <c r="I24" s="78">
        <v>50</v>
      </c>
      <c r="J24" s="78">
        <v>77</v>
      </c>
      <c r="K24" s="78">
        <v>50</v>
      </c>
      <c r="L24" s="78">
        <v>50</v>
      </c>
      <c r="M24" s="78">
        <f t="shared" si="3"/>
        <v>0</v>
      </c>
      <c r="N24" s="78"/>
      <c r="O24" s="78"/>
      <c r="P24" s="79">
        <f t="shared" si="8"/>
        <v>-27</v>
      </c>
      <c r="Q24" s="111"/>
    </row>
    <row r="25" ht="23.45" customHeight="1" spans="1:17">
      <c r="A25" s="76" t="s">
        <v>231</v>
      </c>
      <c r="B25" s="78"/>
      <c r="C25" s="78"/>
      <c r="D25" s="78">
        <v>25000</v>
      </c>
      <c r="E25" s="80">
        <v>20000</v>
      </c>
      <c r="F25" s="79"/>
      <c r="G25" s="66"/>
      <c r="H25" s="284" t="s">
        <v>232</v>
      </c>
      <c r="I25" s="78">
        <v>130</v>
      </c>
      <c r="J25" s="78">
        <v>2760</v>
      </c>
      <c r="K25" s="78">
        <v>1121</v>
      </c>
      <c r="L25" s="78">
        <v>4643</v>
      </c>
      <c r="M25" s="78">
        <f t="shared" si="3"/>
        <v>0</v>
      </c>
      <c r="N25" s="78"/>
      <c r="O25" s="78"/>
      <c r="P25" s="79">
        <f t="shared" si="8"/>
        <v>-1639</v>
      </c>
      <c r="Q25" s="109"/>
    </row>
    <row r="26" ht="23.45" customHeight="1" spans="1:17">
      <c r="A26" s="284" t="s">
        <v>233</v>
      </c>
      <c r="B26" s="78"/>
      <c r="C26" s="78">
        <v>16200</v>
      </c>
      <c r="D26" s="78">
        <v>161900</v>
      </c>
      <c r="E26" s="80">
        <v>161900</v>
      </c>
      <c r="F26" s="79"/>
      <c r="G26" s="66"/>
      <c r="H26" s="286" t="s">
        <v>234</v>
      </c>
      <c r="I26" s="78"/>
      <c r="J26" s="78"/>
      <c r="K26" s="78">
        <v>155000</v>
      </c>
      <c r="L26" s="78">
        <v>155000</v>
      </c>
      <c r="M26" s="78">
        <f t="shared" si="3"/>
        <v>0</v>
      </c>
      <c r="N26" s="78"/>
      <c r="O26" s="78"/>
      <c r="P26" s="79">
        <f t="shared" si="8"/>
        <v>155000</v>
      </c>
      <c r="Q26" s="111"/>
    </row>
    <row r="27" ht="23.45" customHeight="1" spans="1:17">
      <c r="A27" s="284" t="s">
        <v>235</v>
      </c>
      <c r="B27" s="78"/>
      <c r="C27" s="78">
        <v>-16200</v>
      </c>
      <c r="D27" s="78">
        <v>-6900</v>
      </c>
      <c r="E27" s="80">
        <v>-6900</v>
      </c>
      <c r="F27" s="79"/>
      <c r="G27" s="66"/>
      <c r="H27" s="286" t="s">
        <v>236</v>
      </c>
      <c r="I27" s="78">
        <v>6059</v>
      </c>
      <c r="J27" s="78">
        <v>6059</v>
      </c>
      <c r="K27" s="78">
        <v>9082.8</v>
      </c>
      <c r="L27" s="78">
        <v>8782</v>
      </c>
      <c r="M27" s="78">
        <f t="shared" si="3"/>
        <v>9083</v>
      </c>
      <c r="N27" s="78"/>
      <c r="O27" s="78">
        <v>9083</v>
      </c>
      <c r="P27" s="79">
        <f t="shared" si="8"/>
        <v>3023.8</v>
      </c>
      <c r="Q27" s="111"/>
    </row>
    <row r="28" ht="23.45" customHeight="1" spans="1:17">
      <c r="A28" s="284" t="s">
        <v>237</v>
      </c>
      <c r="B28" s="78">
        <v>3004</v>
      </c>
      <c r="C28" s="78">
        <v>1851</v>
      </c>
      <c r="D28" s="78">
        <v>2947</v>
      </c>
      <c r="E28" s="80">
        <v>2947</v>
      </c>
      <c r="F28" s="79">
        <f>1290+103</f>
        <v>1393</v>
      </c>
      <c r="G28" s="66"/>
      <c r="H28" s="286" t="s">
        <v>238</v>
      </c>
      <c r="I28" s="78">
        <f t="shared" ref="I28:O28" si="10">SUM(I29:I32)</f>
        <v>0</v>
      </c>
      <c r="J28" s="78">
        <f t="shared" si="10"/>
        <v>0</v>
      </c>
      <c r="K28" s="78">
        <f t="shared" si="10"/>
        <v>20300</v>
      </c>
      <c r="L28" s="78">
        <f t="shared" si="10"/>
        <v>13876</v>
      </c>
      <c r="M28" s="78">
        <f t="shared" si="3"/>
        <v>0</v>
      </c>
      <c r="N28" s="78">
        <f t="shared" si="10"/>
        <v>0</v>
      </c>
      <c r="O28" s="78">
        <f t="shared" si="10"/>
        <v>0</v>
      </c>
      <c r="P28" s="79">
        <f t="shared" si="8"/>
        <v>20300</v>
      </c>
      <c r="Q28" s="109" t="s">
        <v>239</v>
      </c>
    </row>
    <row r="29" ht="23.45" customHeight="1" spans="1:17">
      <c r="A29" s="284" t="s">
        <v>240</v>
      </c>
      <c r="B29" s="78">
        <v>-3483</v>
      </c>
      <c r="C29" s="78">
        <v>-2573</v>
      </c>
      <c r="D29" s="78">
        <f>-(D7-D8)*0.031</f>
        <v>-2512.519</v>
      </c>
      <c r="E29" s="80">
        <v>-2999</v>
      </c>
      <c r="F29" s="79">
        <f>-(F7-F8)*0.031</f>
        <v>-3134.224</v>
      </c>
      <c r="G29" s="66"/>
      <c r="H29" s="284" t="s">
        <v>241</v>
      </c>
      <c r="I29" s="78"/>
      <c r="J29" s="78"/>
      <c r="K29" s="78">
        <v>4100</v>
      </c>
      <c r="L29" s="78">
        <v>8844</v>
      </c>
      <c r="M29" s="78">
        <f t="shared" si="3"/>
        <v>0</v>
      </c>
      <c r="N29" s="78"/>
      <c r="O29" s="78"/>
      <c r="P29" s="79">
        <f t="shared" si="8"/>
        <v>4100</v>
      </c>
      <c r="Q29" s="111"/>
    </row>
    <row r="30" ht="23.45" customHeight="1" spans="1:17">
      <c r="A30" s="284" t="s">
        <v>242</v>
      </c>
      <c r="B30" s="78">
        <v>-108851</v>
      </c>
      <c r="C30" s="78">
        <v>-162000</v>
      </c>
      <c r="D30" s="78">
        <v>-195000</v>
      </c>
      <c r="E30" s="80">
        <v>-200000</v>
      </c>
      <c r="F30" s="79">
        <v>-155321</v>
      </c>
      <c r="G30" s="66"/>
      <c r="H30" s="284" t="s">
        <v>243</v>
      </c>
      <c r="I30" s="78"/>
      <c r="J30" s="78"/>
      <c r="K30" s="78">
        <v>10742</v>
      </c>
      <c r="L30" s="78">
        <v>4494</v>
      </c>
      <c r="M30" s="78">
        <f t="shared" si="3"/>
        <v>0</v>
      </c>
      <c r="N30" s="78"/>
      <c r="O30" s="78"/>
      <c r="P30" s="79">
        <f t="shared" si="8"/>
        <v>10742</v>
      </c>
      <c r="Q30" s="114"/>
    </row>
    <row r="31" ht="23.45" customHeight="1" spans="1:17">
      <c r="A31" s="86" t="s">
        <v>244</v>
      </c>
      <c r="B31" s="87">
        <f>B6+B24+B26+B27+B28+B29+B30</f>
        <v>72585</v>
      </c>
      <c r="C31" s="87">
        <f>C6+C24+C26+C27+C28+C29+C30</f>
        <v>105753</v>
      </c>
      <c r="D31" s="88">
        <f>D6+D24+D26+D27+D28+D29+D30</f>
        <v>277539.041</v>
      </c>
      <c r="E31" s="88">
        <f>E6+E24+E26+E27+E28+E29+E30</f>
        <v>281229.63</v>
      </c>
      <c r="F31" s="89">
        <f>F6+F24+F26+F27+F28+F29+F30</f>
        <v>63220.776</v>
      </c>
      <c r="G31" s="90"/>
      <c r="H31" s="284" t="s">
        <v>245</v>
      </c>
      <c r="I31" s="78"/>
      <c r="J31" s="78"/>
      <c r="K31" s="78">
        <v>0</v>
      </c>
      <c r="L31" s="78">
        <v>80</v>
      </c>
      <c r="M31" s="78">
        <f t="shared" si="3"/>
        <v>0</v>
      </c>
      <c r="N31" s="78"/>
      <c r="O31" s="78"/>
      <c r="P31" s="79">
        <f t="shared" si="8"/>
        <v>0</v>
      </c>
      <c r="Q31" s="114"/>
    </row>
    <row r="32" ht="23.45" customHeight="1" spans="1:17">
      <c r="A32" s="76" t="s">
        <v>246</v>
      </c>
      <c r="B32" s="78">
        <f>B31-B33</f>
        <v>68784</v>
      </c>
      <c r="C32" s="78">
        <f t="shared" ref="C32:F32" si="11">C31-C33</f>
        <v>102433</v>
      </c>
      <c r="D32" s="74">
        <f t="shared" si="11"/>
        <v>269839.041</v>
      </c>
      <c r="E32" s="74">
        <f t="shared" si="11"/>
        <v>271124.63</v>
      </c>
      <c r="F32" s="75">
        <f t="shared" si="11"/>
        <v>57529.976</v>
      </c>
      <c r="G32" s="66"/>
      <c r="H32" s="284" t="s">
        <v>247</v>
      </c>
      <c r="I32" s="78"/>
      <c r="J32" s="78"/>
      <c r="K32" s="78">
        <v>5458</v>
      </c>
      <c r="L32" s="78">
        <v>458</v>
      </c>
      <c r="M32" s="78">
        <f t="shared" si="3"/>
        <v>0</v>
      </c>
      <c r="N32" s="78"/>
      <c r="O32" s="78"/>
      <c r="P32" s="79">
        <f t="shared" si="8"/>
        <v>5458</v>
      </c>
      <c r="Q32" s="109"/>
    </row>
    <row r="33" ht="23.45" customHeight="1" spans="1:17">
      <c r="A33" s="76" t="s">
        <v>248</v>
      </c>
      <c r="B33" s="78">
        <v>3801</v>
      </c>
      <c r="C33" s="78">
        <v>3320</v>
      </c>
      <c r="D33" s="74">
        <f>3000+4700</f>
        <v>7700</v>
      </c>
      <c r="E33" s="91">
        <v>10105</v>
      </c>
      <c r="F33" s="75">
        <f>F15*0.6+103</f>
        <v>5690.8</v>
      </c>
      <c r="G33" s="66"/>
      <c r="H33" s="92" t="s">
        <v>249</v>
      </c>
      <c r="I33" s="104">
        <f>B32-I8</f>
        <v>3696</v>
      </c>
      <c r="J33" s="104">
        <f>C32-J8</f>
        <v>2947</v>
      </c>
      <c r="K33" s="104">
        <f>D32-K8</f>
        <v>0.281000000017229</v>
      </c>
      <c r="L33" s="104">
        <f>E32-L8</f>
        <v>1290.63</v>
      </c>
      <c r="M33" s="104">
        <f>F32-M8</f>
        <v>0.0360000000073342</v>
      </c>
      <c r="N33" s="104"/>
      <c r="O33" s="104"/>
      <c r="P33" s="105">
        <f t="shared" si="8"/>
        <v>-2946.71899999998</v>
      </c>
      <c r="Q33" s="109"/>
    </row>
    <row r="34" spans="7:7">
      <c r="G34" s="93"/>
    </row>
    <row r="35" ht="33.75" customHeight="1" spans="4:8">
      <c r="D35" s="94"/>
      <c r="E35" s="94"/>
      <c r="F35" s="94"/>
      <c r="H35" s="94"/>
    </row>
    <row r="36" spans="4:10">
      <c r="D36" s="94"/>
      <c r="E36" s="94"/>
      <c r="F36" s="94"/>
      <c r="J36" s="94"/>
    </row>
    <row r="37" spans="4:6">
      <c r="D37" s="94"/>
      <c r="E37" s="94"/>
      <c r="F37" s="94"/>
    </row>
  </sheetData>
  <mergeCells count="17">
    <mergeCell ref="A1:Q1"/>
    <mergeCell ref="A3:F3"/>
    <mergeCell ref="H3:P3"/>
    <mergeCell ref="M4:P4"/>
    <mergeCell ref="A4:A5"/>
    <mergeCell ref="B4:B5"/>
    <mergeCell ref="C4:C5"/>
    <mergeCell ref="D4:D5"/>
    <mergeCell ref="E4:E5"/>
    <mergeCell ref="F4:F5"/>
    <mergeCell ref="H4:H5"/>
    <mergeCell ref="I4:I5"/>
    <mergeCell ref="J4:J5"/>
    <mergeCell ref="K4:K5"/>
    <mergeCell ref="L4:L5"/>
    <mergeCell ref="Q3:Q5"/>
    <mergeCell ref="Q30:Q31"/>
  </mergeCells>
  <printOptions horizontalCentered="1"/>
  <pageMargins left="0.393055555555556" right="0.393055555555556" top="0.393055555555556" bottom="0.393055555555556" header="0.313888888888889" footer="0.196527777777778"/>
  <pageSetup paperSize="8" firstPageNumber="9" fitToHeight="0" orientation="landscape" useFirstPageNumber="1"/>
  <headerFooter>
    <oddFooter>&amp;C第 &amp;P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6" tint="0.799768059327982"/>
    <pageSetUpPr fitToPage="1"/>
  </sheetPr>
  <dimension ref="A1:N24"/>
  <sheetViews>
    <sheetView showZeros="0" zoomScale="85" zoomScaleNormal="85" workbookViewId="0">
      <selection activeCell="G7" sqref="G7"/>
    </sheetView>
  </sheetViews>
  <sheetFormatPr defaultColWidth="9" defaultRowHeight="13.5"/>
  <cols>
    <col min="1" max="1" width="35.875" style="2" customWidth="1"/>
    <col min="2" max="2" width="9" style="2" hidden="1" customWidth="1"/>
    <col min="3" max="7" width="10.125" style="3" customWidth="1"/>
    <col min="8" max="8" width="1.375" style="2" customWidth="1"/>
    <col min="9" max="9" width="35.875" style="2" customWidth="1"/>
    <col min="10" max="10" width="8.625" style="2" hidden="1" customWidth="1"/>
    <col min="11" max="14" width="10" style="2" customWidth="1"/>
    <col min="15" max="16384" width="9" style="2"/>
  </cols>
  <sheetData>
    <row r="1" ht="24" spans="1:14">
      <c r="A1" s="287" t="s">
        <v>250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="1" customFormat="1" ht="21" customHeight="1" spans="1:14">
      <c r="A2" s="5" t="s">
        <v>1</v>
      </c>
      <c r="B2" s="6"/>
      <c r="C2" s="7"/>
      <c r="D2" s="7"/>
      <c r="E2" s="7"/>
      <c r="F2" s="7"/>
      <c r="G2" s="7"/>
      <c r="H2" s="7"/>
      <c r="I2" s="30"/>
      <c r="J2" s="30"/>
      <c r="K2" s="30"/>
      <c r="L2" s="30"/>
      <c r="M2" s="30"/>
      <c r="N2" s="31" t="s">
        <v>2</v>
      </c>
    </row>
    <row r="3" ht="22.5" customHeight="1" spans="1:14">
      <c r="A3" s="8" t="s">
        <v>251</v>
      </c>
      <c r="B3" s="8"/>
      <c r="C3" s="8"/>
      <c r="D3" s="8"/>
      <c r="E3" s="8"/>
      <c r="F3" s="8"/>
      <c r="G3" s="8"/>
      <c r="H3" s="9"/>
      <c r="I3" s="32" t="s">
        <v>252</v>
      </c>
      <c r="J3" s="33"/>
      <c r="K3" s="33"/>
      <c r="L3" s="33"/>
      <c r="M3" s="33"/>
      <c r="N3" s="33"/>
    </row>
    <row r="4" ht="22.5" customHeight="1" spans="1:14">
      <c r="A4" s="10" t="s">
        <v>109</v>
      </c>
      <c r="B4" s="11" t="s">
        <v>253</v>
      </c>
      <c r="C4" s="11" t="s">
        <v>254</v>
      </c>
      <c r="D4" s="12" t="s">
        <v>255</v>
      </c>
      <c r="E4" s="12" t="s">
        <v>256</v>
      </c>
      <c r="F4" s="12" t="s">
        <v>257</v>
      </c>
      <c r="G4" s="12"/>
      <c r="H4" s="13"/>
      <c r="I4" s="32" t="s">
        <v>109</v>
      </c>
      <c r="J4" s="33" t="s">
        <v>253</v>
      </c>
      <c r="K4" s="11" t="s">
        <v>254</v>
      </c>
      <c r="L4" s="34" t="s">
        <v>255</v>
      </c>
      <c r="M4" s="34" t="s">
        <v>256</v>
      </c>
      <c r="N4" s="34" t="s">
        <v>257</v>
      </c>
    </row>
    <row r="5" ht="33.75" customHeight="1" spans="1:14">
      <c r="A5" s="14"/>
      <c r="B5" s="12"/>
      <c r="C5" s="12"/>
      <c r="D5" s="12"/>
      <c r="E5" s="12"/>
      <c r="F5" s="15" t="s">
        <v>53</v>
      </c>
      <c r="G5" s="15" t="s">
        <v>11</v>
      </c>
      <c r="H5" s="13"/>
      <c r="I5" s="33"/>
      <c r="J5" s="33"/>
      <c r="K5" s="12"/>
      <c r="L5" s="35"/>
      <c r="M5" s="35"/>
      <c r="N5" s="35"/>
    </row>
    <row r="6" ht="30" customHeight="1" spans="1:14">
      <c r="A6" s="16" t="s">
        <v>258</v>
      </c>
      <c r="B6" s="17">
        <f>B7</f>
        <v>40246</v>
      </c>
      <c r="C6" s="18">
        <f t="shared" ref="C6" si="0">C7</f>
        <v>33154.41</v>
      </c>
      <c r="D6" s="18">
        <f>D7+D19</f>
        <v>35527.8</v>
      </c>
      <c r="E6" s="18">
        <f>E7+E19</f>
        <v>30528.8</v>
      </c>
      <c r="F6" s="18">
        <f>F7+F19</f>
        <v>98324</v>
      </c>
      <c r="G6" s="19">
        <f t="shared" ref="G6:G18" si="1">D6-C6</f>
        <v>2373.39</v>
      </c>
      <c r="H6" s="13"/>
      <c r="I6" s="36" t="s">
        <v>259</v>
      </c>
      <c r="J6" s="37">
        <f>SUM(J7:J10)</f>
        <v>0</v>
      </c>
      <c r="K6" s="37">
        <f t="shared" ref="K6" si="2">SUM(K7:K10)</f>
        <v>31727</v>
      </c>
      <c r="L6" s="38"/>
      <c r="M6" s="38"/>
      <c r="N6" s="39">
        <f t="shared" ref="N6" si="3">SUM(N7:N10)</f>
        <v>138</v>
      </c>
    </row>
    <row r="7" ht="30" customHeight="1" spans="1:14">
      <c r="A7" s="288" t="s">
        <v>260</v>
      </c>
      <c r="B7" s="21">
        <f>SUM(B8:B18)</f>
        <v>40246</v>
      </c>
      <c r="C7" s="22">
        <f>SUM(C8:C18)</f>
        <v>33154.41</v>
      </c>
      <c r="D7" s="22">
        <f>SUM(D8:D18)</f>
        <v>30527.8</v>
      </c>
      <c r="E7" s="22">
        <f>SUM(E8:E18)</f>
        <v>30528.8</v>
      </c>
      <c r="F7" s="22">
        <f>SUM(F8:F18)</f>
        <v>30482</v>
      </c>
      <c r="G7" s="23">
        <f t="shared" si="1"/>
        <v>-2626.61</v>
      </c>
      <c r="H7" s="13"/>
      <c r="I7" s="289" t="s">
        <v>261</v>
      </c>
      <c r="J7" s="41"/>
      <c r="K7" s="41"/>
      <c r="L7" s="42"/>
      <c r="M7" s="42"/>
      <c r="N7" s="43"/>
    </row>
    <row r="8" ht="30" customHeight="1" spans="1:14">
      <c r="A8" s="290" t="s">
        <v>262</v>
      </c>
      <c r="B8" s="22">
        <v>7893</v>
      </c>
      <c r="C8" s="23">
        <v>9390.767</v>
      </c>
      <c r="D8" s="23">
        <v>8991</v>
      </c>
      <c r="E8" s="23">
        <v>8991</v>
      </c>
      <c r="F8" s="23">
        <v>8991</v>
      </c>
      <c r="G8" s="23">
        <f t="shared" si="1"/>
        <v>-399.767</v>
      </c>
      <c r="H8" s="13"/>
      <c r="I8" s="289" t="s">
        <v>263</v>
      </c>
      <c r="J8" s="41"/>
      <c r="K8" s="41"/>
      <c r="L8" s="42"/>
      <c r="M8" s="42"/>
      <c r="N8" s="43"/>
    </row>
    <row r="9" ht="30" customHeight="1" spans="1:14">
      <c r="A9" s="24" t="s">
        <v>264</v>
      </c>
      <c r="B9" s="22">
        <v>10265</v>
      </c>
      <c r="C9" s="23">
        <v>8767.926</v>
      </c>
      <c r="D9" s="23">
        <v>6702</v>
      </c>
      <c r="E9" s="23">
        <v>6702</v>
      </c>
      <c r="F9" s="23">
        <v>6702</v>
      </c>
      <c r="G9" s="23">
        <f t="shared" si="1"/>
        <v>-2065.926</v>
      </c>
      <c r="H9" s="13"/>
      <c r="I9" s="289" t="s">
        <v>265</v>
      </c>
      <c r="J9" s="41"/>
      <c r="K9" s="41"/>
      <c r="L9" s="42"/>
      <c r="M9" s="42"/>
      <c r="N9" s="43"/>
    </row>
    <row r="10" ht="30" customHeight="1" spans="1:14">
      <c r="A10" s="24" t="s">
        <v>266</v>
      </c>
      <c r="B10" s="22">
        <v>9369</v>
      </c>
      <c r="C10" s="23">
        <v>8793.231</v>
      </c>
      <c r="D10" s="23">
        <v>7585</v>
      </c>
      <c r="E10" s="23">
        <v>7585</v>
      </c>
      <c r="F10" s="23">
        <v>7585</v>
      </c>
      <c r="G10" s="23">
        <f t="shared" si="1"/>
        <v>-1208.231</v>
      </c>
      <c r="H10" s="13"/>
      <c r="I10" s="289" t="s">
        <v>267</v>
      </c>
      <c r="J10" s="41"/>
      <c r="K10" s="41">
        <v>31727</v>
      </c>
      <c r="L10" s="42"/>
      <c r="M10" s="42"/>
      <c r="N10" s="39">
        <v>138</v>
      </c>
    </row>
    <row r="11" ht="30" customHeight="1" spans="1:14">
      <c r="A11" s="24" t="s">
        <v>268</v>
      </c>
      <c r="B11" s="22">
        <v>4644</v>
      </c>
      <c r="C11" s="23">
        <v>4241.076</v>
      </c>
      <c r="D11" s="23">
        <v>3352</v>
      </c>
      <c r="E11" s="23">
        <v>3352</v>
      </c>
      <c r="F11" s="23">
        <v>3352</v>
      </c>
      <c r="G11" s="23">
        <f t="shared" si="1"/>
        <v>-889.076</v>
      </c>
      <c r="H11" s="13"/>
      <c r="I11" s="44" t="s">
        <v>269</v>
      </c>
      <c r="J11" s="41">
        <f>B24-J6</f>
        <v>31844</v>
      </c>
      <c r="K11" s="41">
        <f>C24-K6</f>
        <v>0.410000000003492</v>
      </c>
      <c r="L11" s="41">
        <f t="shared" ref="L11:N11" si="4">D24-L6</f>
        <v>0</v>
      </c>
      <c r="M11" s="41">
        <f t="shared" si="4"/>
        <v>8</v>
      </c>
      <c r="N11" s="39">
        <f t="shared" si="4"/>
        <v>-8</v>
      </c>
    </row>
    <row r="12" ht="30" customHeight="1" spans="1:14">
      <c r="A12" s="290" t="s">
        <v>270</v>
      </c>
      <c r="B12" s="22">
        <v>4489</v>
      </c>
      <c r="C12" s="23">
        <v>252.525</v>
      </c>
      <c r="D12" s="23">
        <v>320</v>
      </c>
      <c r="E12" s="23">
        <v>321</v>
      </c>
      <c r="F12" s="23">
        <v>320</v>
      </c>
      <c r="G12" s="23">
        <f t="shared" si="1"/>
        <v>67.475</v>
      </c>
      <c r="H12" s="13"/>
      <c r="I12" s="45"/>
      <c r="J12" s="46"/>
      <c r="K12" s="41"/>
      <c r="L12" s="42"/>
      <c r="M12" s="42"/>
      <c r="N12" s="43"/>
    </row>
    <row r="13" ht="30" customHeight="1" spans="1:14">
      <c r="A13" s="290" t="s">
        <v>271</v>
      </c>
      <c r="B13" s="22">
        <v>2975</v>
      </c>
      <c r="C13" s="23">
        <v>1305</v>
      </c>
      <c r="D13" s="23">
        <v>3199</v>
      </c>
      <c r="E13" s="23">
        <v>3199</v>
      </c>
      <c r="F13" s="23">
        <v>3199</v>
      </c>
      <c r="G13" s="23">
        <f t="shared" si="1"/>
        <v>1894</v>
      </c>
      <c r="H13" s="13"/>
      <c r="I13" s="24"/>
      <c r="J13" s="46"/>
      <c r="K13" s="41"/>
      <c r="L13" s="42"/>
      <c r="M13" s="42"/>
      <c r="N13" s="43"/>
    </row>
    <row r="14" ht="30" customHeight="1" spans="1:14">
      <c r="A14" s="290" t="s">
        <v>272</v>
      </c>
      <c r="B14" s="22">
        <v>7</v>
      </c>
      <c r="C14" s="23"/>
      <c r="D14" s="23"/>
      <c r="E14" s="23"/>
      <c r="F14" s="23"/>
      <c r="G14" s="23">
        <f t="shared" si="1"/>
        <v>0</v>
      </c>
      <c r="H14" s="13"/>
      <c r="I14" s="24"/>
      <c r="J14" s="46"/>
      <c r="K14" s="41"/>
      <c r="L14" s="42"/>
      <c r="M14" s="42"/>
      <c r="N14" s="43"/>
    </row>
    <row r="15" ht="30" customHeight="1" spans="1:14">
      <c r="A15" s="290" t="s">
        <v>273</v>
      </c>
      <c r="B15" s="22">
        <v>185</v>
      </c>
      <c r="C15" s="23">
        <v>153.996</v>
      </c>
      <c r="D15" s="23">
        <v>167</v>
      </c>
      <c r="E15" s="23">
        <v>167</v>
      </c>
      <c r="F15" s="23">
        <v>167</v>
      </c>
      <c r="G15" s="23">
        <f t="shared" si="1"/>
        <v>13.004</v>
      </c>
      <c r="H15" s="13"/>
      <c r="I15" s="24"/>
      <c r="J15" s="46"/>
      <c r="K15" s="41"/>
      <c r="L15" s="42"/>
      <c r="M15" s="42"/>
      <c r="N15" s="43"/>
    </row>
    <row r="16" ht="30" customHeight="1" spans="1:14">
      <c r="A16" s="290" t="s">
        <v>274</v>
      </c>
      <c r="B16" s="22">
        <v>53</v>
      </c>
      <c r="C16" s="23"/>
      <c r="D16" s="23">
        <v>37</v>
      </c>
      <c r="E16" s="23">
        <v>37</v>
      </c>
      <c r="F16" s="23">
        <v>37</v>
      </c>
      <c r="G16" s="23">
        <f t="shared" si="1"/>
        <v>37</v>
      </c>
      <c r="H16" s="13"/>
      <c r="I16" s="24"/>
      <c r="J16" s="46"/>
      <c r="K16" s="41"/>
      <c r="L16" s="42"/>
      <c r="M16" s="42"/>
      <c r="N16" s="47"/>
    </row>
    <row r="17" ht="30" customHeight="1" spans="1:14">
      <c r="A17" s="290" t="s">
        <v>275</v>
      </c>
      <c r="B17" s="22">
        <v>321</v>
      </c>
      <c r="C17" s="23">
        <v>119.37</v>
      </c>
      <c r="D17" s="23">
        <v>128</v>
      </c>
      <c r="E17" s="23">
        <v>128</v>
      </c>
      <c r="F17" s="23">
        <v>128</v>
      </c>
      <c r="G17" s="23">
        <f t="shared" si="1"/>
        <v>8.63</v>
      </c>
      <c r="H17" s="13"/>
      <c r="I17" s="24"/>
      <c r="J17" s="46"/>
      <c r="K17" s="41"/>
      <c r="L17" s="42"/>
      <c r="M17" s="42"/>
      <c r="N17" s="43"/>
    </row>
    <row r="18" ht="30" customHeight="1" spans="1:14">
      <c r="A18" s="290" t="s">
        <v>276</v>
      </c>
      <c r="B18" s="22">
        <v>45</v>
      </c>
      <c r="C18" s="23">
        <v>130.519</v>
      </c>
      <c r="D18" s="23">
        <f>1.8+45</f>
        <v>46.8</v>
      </c>
      <c r="E18" s="23">
        <v>46.8</v>
      </c>
      <c r="F18" s="23">
        <v>1</v>
      </c>
      <c r="G18" s="23">
        <f t="shared" si="1"/>
        <v>-83.719</v>
      </c>
      <c r="H18" s="13"/>
      <c r="I18" s="24"/>
      <c r="J18" s="46"/>
      <c r="K18" s="41"/>
      <c r="L18" s="42"/>
      <c r="M18" s="42"/>
      <c r="N18" s="43"/>
    </row>
    <row r="19" ht="30" customHeight="1" spans="1:14">
      <c r="A19" s="288" t="s">
        <v>277</v>
      </c>
      <c r="B19" s="22"/>
      <c r="C19" s="23"/>
      <c r="D19" s="23">
        <f>SUM(D20)</f>
        <v>5000</v>
      </c>
      <c r="E19" s="23"/>
      <c r="F19" s="23">
        <f>SUM(F20)</f>
        <v>67842</v>
      </c>
      <c r="G19" s="23"/>
      <c r="H19" s="13"/>
      <c r="I19" s="24"/>
      <c r="J19" s="46"/>
      <c r="K19" s="41"/>
      <c r="L19" s="42"/>
      <c r="M19" s="42"/>
      <c r="N19" s="43"/>
    </row>
    <row r="20" ht="30" customHeight="1" spans="1:14">
      <c r="A20" s="291" t="s">
        <v>278</v>
      </c>
      <c r="B20" s="22"/>
      <c r="C20" s="23"/>
      <c r="D20" s="23">
        <v>5000</v>
      </c>
      <c r="E20" s="23"/>
      <c r="F20" s="23">
        <f>42842+20000+5000</f>
        <v>67842</v>
      </c>
      <c r="G20" s="23"/>
      <c r="H20" s="13"/>
      <c r="I20" s="24"/>
      <c r="J20" s="46"/>
      <c r="K20" s="41"/>
      <c r="L20" s="42"/>
      <c r="M20" s="42"/>
      <c r="N20" s="48"/>
    </row>
    <row r="21" ht="30" customHeight="1" spans="1:14">
      <c r="A21" s="16" t="s">
        <v>279</v>
      </c>
      <c r="B21" s="22">
        <v>1040</v>
      </c>
      <c r="C21" s="22">
        <v>31844</v>
      </c>
      <c r="D21" s="23"/>
      <c r="E21" s="23"/>
      <c r="F21" s="23"/>
      <c r="G21" s="23">
        <f>D21-C21</f>
        <v>-31844</v>
      </c>
      <c r="H21" s="13"/>
      <c r="I21" s="24"/>
      <c r="J21" s="46"/>
      <c r="K21" s="41"/>
      <c r="L21" s="42"/>
      <c r="M21" s="42"/>
      <c r="N21" s="43"/>
    </row>
    <row r="22" ht="30" customHeight="1" spans="1:14">
      <c r="A22" s="16" t="s">
        <v>280</v>
      </c>
      <c r="B22" s="22">
        <v>30802</v>
      </c>
      <c r="C22" s="22">
        <v>925</v>
      </c>
      <c r="D22" s="23"/>
      <c r="E22" s="23">
        <v>8</v>
      </c>
      <c r="F22" s="23">
        <v>130</v>
      </c>
      <c r="G22" s="23">
        <f>D22-C22</f>
        <v>-925</v>
      </c>
      <c r="H22" s="13"/>
      <c r="I22" s="24"/>
      <c r="J22" s="46"/>
      <c r="K22" s="41"/>
      <c r="L22" s="42"/>
      <c r="M22" s="42"/>
      <c r="N22" s="43"/>
    </row>
    <row r="23" ht="30" customHeight="1" spans="1:14">
      <c r="A23" s="16" t="s">
        <v>281</v>
      </c>
      <c r="B23" s="22">
        <v>-40244</v>
      </c>
      <c r="C23" s="23">
        <v>-34196</v>
      </c>
      <c r="D23" s="23">
        <f>-D6</f>
        <v>-35527.8</v>
      </c>
      <c r="E23" s="23">
        <f>-E6</f>
        <v>-30528.8</v>
      </c>
      <c r="F23" s="23">
        <f>-F6</f>
        <v>-98324</v>
      </c>
      <c r="G23" s="23">
        <f>D23-C23</f>
        <v>-1331.8</v>
      </c>
      <c r="H23" s="13"/>
      <c r="I23" s="24"/>
      <c r="J23" s="46"/>
      <c r="K23" s="41"/>
      <c r="L23" s="42"/>
      <c r="M23" s="42"/>
      <c r="N23" s="43"/>
    </row>
    <row r="24" ht="30" customHeight="1" spans="1:14">
      <c r="A24" s="292" t="s">
        <v>282</v>
      </c>
      <c r="B24" s="27">
        <f t="shared" ref="B24" si="5">B6+B22+B23+B21</f>
        <v>31844</v>
      </c>
      <c r="C24" s="27">
        <f t="shared" ref="C24:F24" si="6">C6+C22+C23+C21</f>
        <v>31727.41</v>
      </c>
      <c r="D24" s="27">
        <f t="shared" si="6"/>
        <v>0</v>
      </c>
      <c r="E24" s="27">
        <f t="shared" si="6"/>
        <v>8</v>
      </c>
      <c r="F24" s="27">
        <f t="shared" si="6"/>
        <v>130</v>
      </c>
      <c r="G24" s="28">
        <f>D24-C24</f>
        <v>-31727.41</v>
      </c>
      <c r="H24" s="29"/>
      <c r="I24" s="49"/>
      <c r="J24" s="50"/>
      <c r="K24" s="51"/>
      <c r="L24" s="52"/>
      <c r="M24" s="52"/>
      <c r="N24" s="53"/>
    </row>
  </sheetData>
  <mergeCells count="15">
    <mergeCell ref="A1:N1"/>
    <mergeCell ref="A3:G3"/>
    <mergeCell ref="I3:N3"/>
    <mergeCell ref="F4:G4"/>
    <mergeCell ref="A4:A5"/>
    <mergeCell ref="B4:B5"/>
    <mergeCell ref="C4:C5"/>
    <mergeCell ref="D4:D5"/>
    <mergeCell ref="E4:E5"/>
    <mergeCell ref="I4:I5"/>
    <mergeCell ref="J4:J5"/>
    <mergeCell ref="K4:K5"/>
    <mergeCell ref="L4:L5"/>
    <mergeCell ref="M4:M5"/>
    <mergeCell ref="N4:N5"/>
  </mergeCells>
  <printOptions horizontalCentered="1"/>
  <pageMargins left="0.707638888888889" right="0.707638888888889" top="0.747916666666667" bottom="0.747916666666667" header="0.313888888888889" footer="0.313888888888889"/>
  <pageSetup paperSize="8" firstPageNumber="10" orientation="landscape" useFirstPageNumber="1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2</vt:lpstr>
      <vt:lpstr>3</vt:lpstr>
      <vt:lpstr>4</vt:lpstr>
      <vt:lpstr>5</vt:lpstr>
      <vt:lpstr>6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余勇</dc:creator>
  <cp:lastModifiedBy>熊钦松</cp:lastModifiedBy>
  <dcterms:created xsi:type="dcterms:W3CDTF">2014-12-04T10:01:00Z</dcterms:created>
  <cp:lastPrinted>2021-01-04T09:04:00Z</cp:lastPrinted>
  <dcterms:modified xsi:type="dcterms:W3CDTF">2021-03-25T09:35:02Z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